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pc\Pictures\0.web - scen dokumentov  ap\"/>
    </mc:Choice>
  </mc:AlternateContent>
  <xr:revisionPtr revIDLastSave="0" documentId="8_{C1035C63-D774-4C52-849A-7E63D9A04C1A}" xr6:coauthVersionLast="45" xr6:coauthVersionMax="45" xr10:uidLastSave="{00000000-0000-0000-0000-000000000000}"/>
  <bookViews>
    <workbookView xWindow="-108" yWindow="-108" windowWidth="23256" windowHeight="12576"/>
  </bookViews>
  <sheets>
    <sheet name="výdavky" sheetId="2" r:id="rId1"/>
  </sheets>
  <definedNames>
    <definedName name="_xlnm._FilterDatabase" localSheetId="0" hidden="1">výdavky!$A$6:$D$6</definedName>
    <definedName name="_xlnm.Print_Titles" localSheetId="0">výdavky!$4:$8</definedName>
  </definedNames>
  <calcPr calcId="181029" calcMode="manual" fullCalcOnLoad="1"/>
</workbook>
</file>

<file path=xl/calcChain.xml><?xml version="1.0" encoding="utf-8"?>
<calcChain xmlns="http://schemas.openxmlformats.org/spreadsheetml/2006/main">
  <c r="R487" i="2" l="1"/>
  <c r="T396" i="2"/>
  <c r="T426" i="2"/>
  <c r="T457" i="2" s="1"/>
  <c r="T475" i="2" s="1"/>
  <c r="T487" i="2"/>
  <c r="R478" i="2"/>
  <c r="Q487" i="2"/>
  <c r="O487" i="2"/>
  <c r="P470" i="2"/>
  <c r="P478" i="2" s="1"/>
  <c r="P487" i="2"/>
  <c r="M487" i="2"/>
  <c r="O470" i="2"/>
  <c r="M470" i="2"/>
  <c r="M478" i="2"/>
  <c r="O258" i="2"/>
  <c r="R346" i="2"/>
  <c r="Q346" i="2"/>
  <c r="R374" i="2"/>
  <c r="Q374" i="2"/>
  <c r="O382" i="2"/>
  <c r="O374" i="2"/>
  <c r="O358" i="2"/>
  <c r="O346" i="2"/>
  <c r="O396" i="2"/>
  <c r="P415" i="2"/>
  <c r="O415" i="2"/>
  <c r="O426" i="2"/>
  <c r="Q432" i="2"/>
  <c r="Q426" i="2"/>
  <c r="R426" i="2"/>
  <c r="R415" i="2"/>
  <c r="Q415" i="2"/>
  <c r="Q396" i="2"/>
  <c r="R396" i="2"/>
  <c r="R457" i="2" s="1"/>
  <c r="R475" i="2" s="1"/>
  <c r="S396" i="2"/>
  <c r="P435" i="2"/>
  <c r="P457" i="2" s="1"/>
  <c r="P475" i="2" s="1"/>
  <c r="P396" i="2"/>
  <c r="P426" i="2"/>
  <c r="M440" i="2"/>
  <c r="M437" i="2"/>
  <c r="M435" i="2"/>
  <c r="M429" i="2"/>
  <c r="O429" i="2"/>
  <c r="M426" i="2"/>
  <c r="M396" i="2"/>
  <c r="P262" i="2"/>
  <c r="P197" i="2"/>
  <c r="P233" i="2"/>
  <c r="P358" i="2"/>
  <c r="P374" i="2"/>
  <c r="M223" i="2"/>
  <c r="M236" i="2"/>
  <c r="O236" i="2"/>
  <c r="M307" i="2"/>
  <c r="M374" i="2"/>
  <c r="M358" i="2"/>
  <c r="O285" i="2"/>
  <c r="T382" i="2"/>
  <c r="S382" i="2"/>
  <c r="R382" i="2"/>
  <c r="Q382" i="2"/>
  <c r="P382" i="2"/>
  <c r="M382" i="2"/>
  <c r="Q366" i="2"/>
  <c r="O366" i="2"/>
  <c r="P346" i="2"/>
  <c r="M346" i="2"/>
  <c r="P366" i="2"/>
  <c r="M366" i="2"/>
  <c r="S310" i="2"/>
  <c r="R310" i="2"/>
  <c r="Q310" i="2"/>
  <c r="O310" i="2"/>
  <c r="P310" i="2"/>
  <c r="M310" i="2"/>
  <c r="O307" i="2"/>
  <c r="S307" i="2"/>
  <c r="R307" i="2"/>
  <c r="Q307" i="2"/>
  <c r="P307" i="2"/>
  <c r="Q304" i="2"/>
  <c r="O304" i="2"/>
  <c r="P304" i="2"/>
  <c r="M304" i="2"/>
  <c r="T285" i="2"/>
  <c r="S285" i="2"/>
  <c r="R285" i="2"/>
  <c r="Q285" i="2"/>
  <c r="P285" i="2"/>
  <c r="M285" i="2"/>
  <c r="Q279" i="2"/>
  <c r="O279" i="2"/>
  <c r="P279" i="2"/>
  <c r="M279" i="2"/>
  <c r="Q270" i="2"/>
  <c r="O270" i="2"/>
  <c r="P270" i="2"/>
  <c r="M270" i="2"/>
  <c r="R262" i="2"/>
  <c r="Q262" i="2"/>
  <c r="O262" i="2"/>
  <c r="M262" i="2"/>
  <c r="R258" i="2"/>
  <c r="Q258" i="2"/>
  <c r="P258" i="2"/>
  <c r="M258" i="2"/>
  <c r="R255" i="2"/>
  <c r="Q255" i="2"/>
  <c r="P255" i="2"/>
  <c r="O255" i="2"/>
  <c r="M255" i="2"/>
  <c r="R246" i="2"/>
  <c r="Q246" i="2"/>
  <c r="P246" i="2"/>
  <c r="O246" i="2"/>
  <c r="M246" i="2"/>
  <c r="Q236" i="2"/>
  <c r="Q233" i="2"/>
  <c r="O233" i="2"/>
  <c r="M233" i="2"/>
  <c r="Q229" i="2"/>
  <c r="O229" i="2"/>
  <c r="M229" i="2"/>
  <c r="O223" i="2"/>
  <c r="S223" i="2"/>
  <c r="Q223" i="2"/>
  <c r="R217" i="2"/>
  <c r="Q217" i="2"/>
  <c r="O217" i="2"/>
  <c r="M217" i="2"/>
  <c r="M214" i="2"/>
  <c r="S197" i="2"/>
  <c r="O197" i="2"/>
  <c r="R197" i="2"/>
  <c r="Q197" i="2"/>
  <c r="M197" i="2"/>
  <c r="M186" i="2"/>
  <c r="O186" i="2"/>
  <c r="Q186" i="2"/>
  <c r="R186" i="2"/>
  <c r="P186" i="2"/>
  <c r="O180" i="2"/>
  <c r="M180" i="2"/>
  <c r="M113" i="2"/>
  <c r="M78" i="2"/>
  <c r="P180" i="2"/>
  <c r="Q180" i="2"/>
  <c r="Q113" i="2"/>
  <c r="O113" i="2"/>
  <c r="Q78" i="2"/>
  <c r="Q392" i="2" s="1"/>
  <c r="Q474" i="2" s="1"/>
  <c r="P103" i="2"/>
  <c r="P102" i="2"/>
  <c r="P96" i="2"/>
  <c r="P95" i="2"/>
  <c r="O78" i="2"/>
  <c r="O108" i="2"/>
  <c r="R10" i="2"/>
  <c r="T10" i="2"/>
  <c r="S10" i="2"/>
  <c r="Q10" i="2"/>
  <c r="O10" i="2"/>
  <c r="P10" i="2"/>
  <c r="M114" i="2"/>
  <c r="M108" i="2"/>
  <c r="M103" i="2"/>
  <c r="M102" i="2" s="1"/>
  <c r="M96" i="2"/>
  <c r="M95" i="2"/>
  <c r="M74" i="2"/>
  <c r="M72" i="2"/>
  <c r="M69" i="2"/>
  <c r="M68" i="2" s="1"/>
  <c r="M10" i="2"/>
  <c r="M392" i="2" s="1"/>
  <c r="M474" i="2" s="1"/>
  <c r="M479" i="2" s="1"/>
  <c r="M488" i="2" s="1"/>
  <c r="R366" i="2"/>
  <c r="R270" i="2"/>
  <c r="R180" i="2"/>
  <c r="S487" i="2"/>
  <c r="O478" i="2"/>
  <c r="E10" i="2"/>
  <c r="G11" i="2"/>
  <c r="J11" i="2"/>
  <c r="N11" i="2"/>
  <c r="F12" i="2"/>
  <c r="I12" i="2" s="1"/>
  <c r="I11" i="2" s="1"/>
  <c r="H12" i="2"/>
  <c r="H11" i="2" s="1"/>
  <c r="F13" i="2"/>
  <c r="I13" i="2"/>
  <c r="H13" i="2"/>
  <c r="G15" i="2"/>
  <c r="J15" i="2"/>
  <c r="L15" i="2"/>
  <c r="N15" i="2"/>
  <c r="F16" i="2"/>
  <c r="H16" i="2"/>
  <c r="D17" i="2"/>
  <c r="D18" i="2"/>
  <c r="D19" i="2"/>
  <c r="D20" i="2"/>
  <c r="F20" i="2" s="1"/>
  <c r="I20" i="2" s="1"/>
  <c r="D21" i="2"/>
  <c r="F21" i="2" s="1"/>
  <c r="I21" i="2" s="1"/>
  <c r="F22" i="2"/>
  <c r="H22" i="2"/>
  <c r="I22" i="2"/>
  <c r="D23" i="2"/>
  <c r="H23" i="2" s="1"/>
  <c r="F23" i="2"/>
  <c r="D24" i="2"/>
  <c r="F24" i="2" s="1"/>
  <c r="I24" i="2" s="1"/>
  <c r="G27" i="2"/>
  <c r="I27" i="2"/>
  <c r="F28" i="2"/>
  <c r="H28" i="2"/>
  <c r="H27" i="2"/>
  <c r="G29" i="2"/>
  <c r="H29" i="2"/>
  <c r="I29" i="2"/>
  <c r="J29" i="2"/>
  <c r="N29" i="2"/>
  <c r="F30" i="2"/>
  <c r="H30" i="2"/>
  <c r="F31" i="2"/>
  <c r="H31" i="2"/>
  <c r="F32" i="2"/>
  <c r="H32" i="2"/>
  <c r="F33" i="2"/>
  <c r="H33" i="2"/>
  <c r="F34" i="2"/>
  <c r="J34" i="2"/>
  <c r="N34" i="2"/>
  <c r="F35" i="2"/>
  <c r="H35" i="2"/>
  <c r="F36" i="2"/>
  <c r="H36" i="2"/>
  <c r="F38" i="2"/>
  <c r="H38" i="2"/>
  <c r="F40" i="2"/>
  <c r="H40" i="2"/>
  <c r="F42" i="2"/>
  <c r="I42" i="2" s="1"/>
  <c r="I34" i="2" s="1"/>
  <c r="H42" i="2"/>
  <c r="F45" i="2"/>
  <c r="G45" i="2"/>
  <c r="G34" i="2" s="1"/>
  <c r="G26" i="2" s="1"/>
  <c r="G10" i="2" s="1"/>
  <c r="G47" i="2"/>
  <c r="I47" i="2"/>
  <c r="J47" i="2"/>
  <c r="N47" i="2"/>
  <c r="F48" i="2"/>
  <c r="H48" i="2"/>
  <c r="F49" i="2"/>
  <c r="H49" i="2"/>
  <c r="F50" i="2"/>
  <c r="H50" i="2"/>
  <c r="F51" i="2"/>
  <c r="H51" i="2"/>
  <c r="G53" i="2"/>
  <c r="I53" i="2"/>
  <c r="J53" i="2"/>
  <c r="J26" i="2"/>
  <c r="N53" i="2"/>
  <c r="F54" i="2"/>
  <c r="H54" i="2"/>
  <c r="F55" i="2"/>
  <c r="H55" i="2"/>
  <c r="F56" i="2"/>
  <c r="H56" i="2"/>
  <c r="H53" i="2" s="1"/>
  <c r="F58" i="2"/>
  <c r="H58" i="2"/>
  <c r="G59" i="2"/>
  <c r="I59" i="2"/>
  <c r="F60" i="2"/>
  <c r="H60" i="2"/>
  <c r="H59" i="2"/>
  <c r="G61" i="2"/>
  <c r="H61" i="2"/>
  <c r="I61" i="2"/>
  <c r="J61" i="2"/>
  <c r="N61" i="2"/>
  <c r="D68" i="2"/>
  <c r="F68" i="2" s="1"/>
  <c r="E68" i="2"/>
  <c r="G68" i="2"/>
  <c r="H68" i="2" s="1"/>
  <c r="N69" i="2"/>
  <c r="O69" i="2"/>
  <c r="P69" i="2"/>
  <c r="Q69" i="2"/>
  <c r="Q68" i="2" s="1"/>
  <c r="R69" i="2"/>
  <c r="S69" i="2"/>
  <c r="T69" i="2"/>
  <c r="T68" i="2" s="1"/>
  <c r="F70" i="2"/>
  <c r="H70" i="2"/>
  <c r="I70" i="2"/>
  <c r="I69" i="2" s="1"/>
  <c r="F71" i="2"/>
  <c r="I71" i="2"/>
  <c r="H71" i="2"/>
  <c r="N72" i="2"/>
  <c r="O72" i="2"/>
  <c r="P72" i="2"/>
  <c r="P68" i="2" s="1"/>
  <c r="Q72" i="2"/>
  <c r="R72" i="2"/>
  <c r="R68" i="2" s="1"/>
  <c r="S72" i="2"/>
  <c r="T72" i="2"/>
  <c r="N74" i="2"/>
  <c r="N68" i="2" s="1"/>
  <c r="O74" i="2"/>
  <c r="P74" i="2"/>
  <c r="Q74" i="2"/>
  <c r="R74" i="2"/>
  <c r="S74" i="2"/>
  <c r="T74" i="2"/>
  <c r="F75" i="2"/>
  <c r="H75" i="2"/>
  <c r="I75" i="2"/>
  <c r="I74" i="2" s="1"/>
  <c r="F76" i="2"/>
  <c r="H76" i="2"/>
  <c r="E78" i="2"/>
  <c r="N78" i="2"/>
  <c r="P78" i="2"/>
  <c r="R78" i="2"/>
  <c r="S78" i="2"/>
  <c r="T78" i="2"/>
  <c r="D80" i="2"/>
  <c r="K80" i="2"/>
  <c r="F81" i="2"/>
  <c r="I81" i="2" s="1"/>
  <c r="H81" i="2"/>
  <c r="G82" i="2"/>
  <c r="G78" i="2" s="1"/>
  <c r="H78" i="2" s="1"/>
  <c r="F83" i="2"/>
  <c r="I83" i="2" s="1"/>
  <c r="H83" i="2"/>
  <c r="F85" i="2"/>
  <c r="I85" i="2" s="1"/>
  <c r="I84" i="2" s="1"/>
  <c r="H85" i="2"/>
  <c r="F86" i="2"/>
  <c r="F87" i="2"/>
  <c r="I87" i="2"/>
  <c r="I86" i="2" s="1"/>
  <c r="H87" i="2"/>
  <c r="J88" i="2"/>
  <c r="J78" i="2"/>
  <c r="F89" i="2"/>
  <c r="I89" i="2" s="1"/>
  <c r="I88" i="2" s="1"/>
  <c r="H89" i="2"/>
  <c r="F90" i="2"/>
  <c r="I90" i="2"/>
  <c r="H90" i="2"/>
  <c r="I91" i="2"/>
  <c r="F92" i="2"/>
  <c r="F93" i="2"/>
  <c r="H93" i="2"/>
  <c r="D95" i="2"/>
  <c r="E95" i="2"/>
  <c r="J95" i="2"/>
  <c r="Q95" i="2"/>
  <c r="G96" i="2"/>
  <c r="G95" i="2" s="1"/>
  <c r="N96" i="2"/>
  <c r="N95" i="2" s="1"/>
  <c r="O96" i="2"/>
  <c r="O95" i="2"/>
  <c r="Q96" i="2"/>
  <c r="R96" i="2"/>
  <c r="R95" i="2" s="1"/>
  <c r="S96" i="2"/>
  <c r="S95" i="2" s="1"/>
  <c r="T96" i="2"/>
  <c r="T95" i="2"/>
  <c r="F97" i="2"/>
  <c r="F95" i="2"/>
  <c r="H97" i="2"/>
  <c r="H96" i="2"/>
  <c r="H95" i="2" s="1"/>
  <c r="I97" i="2"/>
  <c r="F98" i="2"/>
  <c r="I98" i="2"/>
  <c r="H98" i="2"/>
  <c r="F100" i="2"/>
  <c r="I100" i="2"/>
  <c r="D102" i="2"/>
  <c r="E102" i="2"/>
  <c r="G102" i="2"/>
  <c r="H102" i="2"/>
  <c r="I102" i="2"/>
  <c r="J102" i="2"/>
  <c r="Q102" i="2"/>
  <c r="I103" i="2"/>
  <c r="N103" i="2"/>
  <c r="N102" i="2" s="1"/>
  <c r="O103" i="2"/>
  <c r="O102" i="2" s="1"/>
  <c r="Q103" i="2"/>
  <c r="R103" i="2"/>
  <c r="R102" i="2"/>
  <c r="S103" i="2"/>
  <c r="S102" i="2" s="1"/>
  <c r="T103" i="2"/>
  <c r="T102" i="2" s="1"/>
  <c r="F104" i="2"/>
  <c r="F102" i="2" s="1"/>
  <c r="H104" i="2"/>
  <c r="E107" i="2"/>
  <c r="J107" i="2"/>
  <c r="P108" i="2"/>
  <c r="Q108" i="2"/>
  <c r="R108" i="2"/>
  <c r="S108" i="2"/>
  <c r="T108" i="2"/>
  <c r="D113" i="2"/>
  <c r="D107" i="2"/>
  <c r="E113" i="2"/>
  <c r="J113" i="2"/>
  <c r="N113" i="2"/>
  <c r="P113" i="2"/>
  <c r="R113" i="2"/>
  <c r="S113" i="2"/>
  <c r="T113" i="2"/>
  <c r="G114" i="2"/>
  <c r="I114" i="2"/>
  <c r="I107" i="2" s="1"/>
  <c r="N114" i="2"/>
  <c r="N107" i="2" s="1"/>
  <c r="O114" i="2"/>
  <c r="P114" i="2"/>
  <c r="Q114" i="2"/>
  <c r="R114" i="2"/>
  <c r="S114" i="2"/>
  <c r="T114" i="2"/>
  <c r="F115" i="2"/>
  <c r="H115" i="2"/>
  <c r="H114" i="2" s="1"/>
  <c r="G116" i="2"/>
  <c r="I116" i="2"/>
  <c r="F117" i="2"/>
  <c r="H117" i="2"/>
  <c r="F118" i="2"/>
  <c r="H118" i="2"/>
  <c r="F119" i="2"/>
  <c r="H119" i="2"/>
  <c r="F120" i="2"/>
  <c r="G120" i="2"/>
  <c r="I120" i="2"/>
  <c r="F121" i="2"/>
  <c r="H121" i="2"/>
  <c r="F122" i="2"/>
  <c r="H122" i="2"/>
  <c r="G123" i="2"/>
  <c r="I123" i="2"/>
  <c r="F124" i="2"/>
  <c r="H124" i="2"/>
  <c r="H123" i="2" s="1"/>
  <c r="F125" i="2"/>
  <c r="H125" i="2"/>
  <c r="F127" i="2"/>
  <c r="H127" i="2"/>
  <c r="G129" i="2"/>
  <c r="I129" i="2"/>
  <c r="F130" i="2"/>
  <c r="H130" i="2"/>
  <c r="H129" i="2" s="1"/>
  <c r="J131" i="2"/>
  <c r="G133" i="2"/>
  <c r="I133" i="2"/>
  <c r="F134" i="2"/>
  <c r="H134" i="2"/>
  <c r="H133" i="2" s="1"/>
  <c r="F136" i="2"/>
  <c r="H136" i="2"/>
  <c r="H137" i="2"/>
  <c r="J138" i="2"/>
  <c r="G139" i="2"/>
  <c r="M139" i="2"/>
  <c r="M138" i="2" s="1"/>
  <c r="N139" i="2"/>
  <c r="N138" i="2" s="1"/>
  <c r="O139" i="2"/>
  <c r="P139" i="2"/>
  <c r="Q139" i="2"/>
  <c r="Q138" i="2" s="1"/>
  <c r="R139" i="2"/>
  <c r="S139" i="2"/>
  <c r="T139" i="2"/>
  <c r="F140" i="2"/>
  <c r="I140" i="2" s="1"/>
  <c r="I139" i="2" s="1"/>
  <c r="H140" i="2"/>
  <c r="F141" i="2"/>
  <c r="I141" i="2" s="1"/>
  <c r="H141" i="2"/>
  <c r="E142" i="2"/>
  <c r="E138" i="2"/>
  <c r="F142" i="2"/>
  <c r="H142" i="2"/>
  <c r="H139" i="2" s="1"/>
  <c r="I142" i="2"/>
  <c r="G143" i="2"/>
  <c r="M143" i="2"/>
  <c r="N143" i="2"/>
  <c r="O143" i="2"/>
  <c r="O138" i="2" s="1"/>
  <c r="P143" i="2"/>
  <c r="Q143" i="2"/>
  <c r="R143" i="2"/>
  <c r="S143" i="2"/>
  <c r="T143" i="2"/>
  <c r="F144" i="2"/>
  <c r="I144" i="2"/>
  <c r="H144" i="2"/>
  <c r="F145" i="2"/>
  <c r="H145" i="2"/>
  <c r="I145" i="2"/>
  <c r="D146" i="2"/>
  <c r="F146" i="2"/>
  <c r="H146" i="2"/>
  <c r="D147" i="2"/>
  <c r="D148" i="2"/>
  <c r="F149" i="2"/>
  <c r="I149" i="2" s="1"/>
  <c r="H149" i="2"/>
  <c r="F150" i="2"/>
  <c r="H150" i="2"/>
  <c r="I150" i="2"/>
  <c r="F151" i="2"/>
  <c r="I151" i="2" s="1"/>
  <c r="H151" i="2"/>
  <c r="F153" i="2"/>
  <c r="M153" i="2"/>
  <c r="N153" i="2"/>
  <c r="O153" i="2"/>
  <c r="P153" i="2"/>
  <c r="Q153" i="2"/>
  <c r="R153" i="2"/>
  <c r="S153" i="2"/>
  <c r="S138" i="2" s="1"/>
  <c r="T153" i="2"/>
  <c r="F154" i="2"/>
  <c r="G154" i="2"/>
  <c r="G153" i="2"/>
  <c r="F155" i="2"/>
  <c r="I155" i="2"/>
  <c r="I153" i="2" s="1"/>
  <c r="H155" i="2"/>
  <c r="G157" i="2"/>
  <c r="H157" i="2"/>
  <c r="I157" i="2"/>
  <c r="F158" i="2"/>
  <c r="H158" i="2"/>
  <c r="G159" i="2"/>
  <c r="M159" i="2"/>
  <c r="N159" i="2"/>
  <c r="O159" i="2"/>
  <c r="P159" i="2"/>
  <c r="Q159" i="2"/>
  <c r="R159" i="2"/>
  <c r="R138" i="2" s="1"/>
  <c r="S159" i="2"/>
  <c r="T159" i="2"/>
  <c r="F160" i="2"/>
  <c r="H160" i="2"/>
  <c r="F161" i="2"/>
  <c r="H161" i="2"/>
  <c r="F162" i="2"/>
  <c r="I162" i="2"/>
  <c r="I159" i="2" s="1"/>
  <c r="H162" i="2"/>
  <c r="M163" i="2"/>
  <c r="N163" i="2"/>
  <c r="O163" i="2"/>
  <c r="P163" i="2"/>
  <c r="Q163" i="2"/>
  <c r="R163" i="2"/>
  <c r="S163" i="2"/>
  <c r="T163" i="2"/>
  <c r="F165" i="2"/>
  <c r="I165" i="2" s="1"/>
  <c r="I163" i="2" s="1"/>
  <c r="H165" i="2"/>
  <c r="H163" i="2"/>
  <c r="G166" i="2"/>
  <c r="G163" i="2" s="1"/>
  <c r="G138" i="2" s="1"/>
  <c r="D167" i="2"/>
  <c r="E167" i="2"/>
  <c r="F167" i="2"/>
  <c r="J167" i="2"/>
  <c r="G168" i="2"/>
  <c r="G167" i="2" s="1"/>
  <c r="H168" i="2"/>
  <c r="H167" i="2" s="1"/>
  <c r="I168" i="2"/>
  <c r="I167" i="2" s="1"/>
  <c r="M168" i="2"/>
  <c r="M167" i="2" s="1"/>
  <c r="N168" i="2"/>
  <c r="O168" i="2"/>
  <c r="P168" i="2"/>
  <c r="P167" i="2"/>
  <c r="Q168" i="2"/>
  <c r="Q167" i="2" s="1"/>
  <c r="R168" i="2"/>
  <c r="S168" i="2"/>
  <c r="S167" i="2" s="1"/>
  <c r="T168" i="2"/>
  <c r="T167" i="2" s="1"/>
  <c r="M170" i="2"/>
  <c r="N170" i="2"/>
  <c r="O170" i="2"/>
  <c r="P170" i="2"/>
  <c r="Q170" i="2"/>
  <c r="R170" i="2"/>
  <c r="S170" i="2"/>
  <c r="T170" i="2"/>
  <c r="G172" i="2"/>
  <c r="H172" i="2"/>
  <c r="I172" i="2"/>
  <c r="M172" i="2"/>
  <c r="N172" i="2"/>
  <c r="O172" i="2"/>
  <c r="O167" i="2"/>
  <c r="P172" i="2"/>
  <c r="Q172" i="2"/>
  <c r="R172" i="2"/>
  <c r="S172" i="2"/>
  <c r="T172" i="2"/>
  <c r="D175" i="2"/>
  <c r="E175" i="2"/>
  <c r="J175" i="2"/>
  <c r="P175" i="2"/>
  <c r="G176" i="2"/>
  <c r="G175" i="2" s="1"/>
  <c r="H176" i="2"/>
  <c r="H175" i="2" s="1"/>
  <c r="I176" i="2"/>
  <c r="I175" i="2" s="1"/>
  <c r="M176" i="2"/>
  <c r="M175" i="2" s="1"/>
  <c r="N176" i="2"/>
  <c r="N175" i="2" s="1"/>
  <c r="O176" i="2"/>
  <c r="O175" i="2"/>
  <c r="P176" i="2"/>
  <c r="Q176" i="2"/>
  <c r="Q175" i="2" s="1"/>
  <c r="R176" i="2"/>
  <c r="R175" i="2" s="1"/>
  <c r="S176" i="2"/>
  <c r="S175" i="2"/>
  <c r="T176" i="2"/>
  <c r="T175" i="2" s="1"/>
  <c r="F177" i="2"/>
  <c r="F175" i="2" s="1"/>
  <c r="F178" i="2"/>
  <c r="S180" i="2"/>
  <c r="T180" i="2"/>
  <c r="D186" i="2"/>
  <c r="E186" i="2"/>
  <c r="J186" i="2"/>
  <c r="N186" i="2"/>
  <c r="S186" i="2"/>
  <c r="T186" i="2"/>
  <c r="F187" i="2"/>
  <c r="G187" i="2"/>
  <c r="G186" i="2" s="1"/>
  <c r="H187" i="2"/>
  <c r="F188" i="2"/>
  <c r="H188" i="2"/>
  <c r="I188" i="2"/>
  <c r="I187" i="2" s="1"/>
  <c r="I186" i="2" s="1"/>
  <c r="G189" i="2"/>
  <c r="F190" i="2"/>
  <c r="I190" i="2"/>
  <c r="I189" i="2" s="1"/>
  <c r="H190" i="2"/>
  <c r="H189" i="2" s="1"/>
  <c r="G192" i="2"/>
  <c r="I192" i="2"/>
  <c r="J192" i="2"/>
  <c r="M193" i="2"/>
  <c r="M192" i="2" s="1"/>
  <c r="N193" i="2"/>
  <c r="N192" i="2" s="1"/>
  <c r="O193" i="2"/>
  <c r="O192" i="2" s="1"/>
  <c r="P193" i="2"/>
  <c r="P192" i="2" s="1"/>
  <c r="Q193" i="2"/>
  <c r="Q192" i="2" s="1"/>
  <c r="R193" i="2"/>
  <c r="R192" i="2" s="1"/>
  <c r="S193" i="2"/>
  <c r="S192" i="2" s="1"/>
  <c r="T193" i="2"/>
  <c r="T192" i="2" s="1"/>
  <c r="D197" i="2"/>
  <c r="E197" i="2"/>
  <c r="J197" i="2"/>
  <c r="N197" i="2"/>
  <c r="T197" i="2"/>
  <c r="F199" i="2"/>
  <c r="G199" i="2"/>
  <c r="I199" i="2"/>
  <c r="F200" i="2"/>
  <c r="H200" i="2"/>
  <c r="H199" i="2" s="1"/>
  <c r="F201" i="2"/>
  <c r="H201" i="2"/>
  <c r="G204" i="2"/>
  <c r="I204" i="2"/>
  <c r="F205" i="2"/>
  <c r="H205" i="2"/>
  <c r="H204" i="2" s="1"/>
  <c r="F206" i="2"/>
  <c r="F197" i="2" s="1"/>
  <c r="H206" i="2"/>
  <c r="G207" i="2"/>
  <c r="G197" i="2" s="1"/>
  <c r="F208" i="2"/>
  <c r="H208" i="2"/>
  <c r="F209" i="2"/>
  <c r="H209" i="2"/>
  <c r="H207" i="2" s="1"/>
  <c r="I209" i="2"/>
  <c r="I207" i="2" s="1"/>
  <c r="I197" i="2" s="1"/>
  <c r="H210" i="2"/>
  <c r="D211" i="2"/>
  <c r="E211" i="2"/>
  <c r="F211" i="2"/>
  <c r="G211" i="2"/>
  <c r="H211" i="2" s="1"/>
  <c r="I211" i="2"/>
  <c r="J211" i="2"/>
  <c r="M211" i="2"/>
  <c r="N211" i="2"/>
  <c r="O211" i="2"/>
  <c r="P211" i="2"/>
  <c r="Q211" i="2"/>
  <c r="R211" i="2"/>
  <c r="S211" i="2"/>
  <c r="T211" i="2"/>
  <c r="I213" i="2"/>
  <c r="O214" i="2"/>
  <c r="P214" i="2"/>
  <c r="Q214" i="2"/>
  <c r="R214" i="2"/>
  <c r="S214" i="2"/>
  <c r="T214" i="2"/>
  <c r="P217" i="2"/>
  <c r="S217" i="2"/>
  <c r="S392" i="2" s="1"/>
  <c r="S474" i="2" s="1"/>
  <c r="T217" i="2"/>
  <c r="R223" i="2"/>
  <c r="T223" i="2"/>
  <c r="R229" i="2"/>
  <c r="R233" i="2"/>
  <c r="S233" i="2"/>
  <c r="T233" i="2"/>
  <c r="P236" i="2"/>
  <c r="R236" i="2"/>
  <c r="S236" i="2"/>
  <c r="T236" i="2"/>
  <c r="D242" i="2"/>
  <c r="E242" i="2"/>
  <c r="G242" i="2"/>
  <c r="H242" i="2"/>
  <c r="I242" i="2"/>
  <c r="M243" i="2"/>
  <c r="M242" i="2" s="1"/>
  <c r="N243" i="2"/>
  <c r="N242" i="2"/>
  <c r="O243" i="2"/>
  <c r="O242" i="2"/>
  <c r="P243" i="2"/>
  <c r="P242" i="2"/>
  <c r="Q243" i="2"/>
  <c r="Q242" i="2" s="1"/>
  <c r="R243" i="2"/>
  <c r="R242" i="2" s="1"/>
  <c r="S243" i="2"/>
  <c r="S242" i="2" s="1"/>
  <c r="T243" i="2"/>
  <c r="T242" i="2" s="1"/>
  <c r="F244" i="2"/>
  <c r="F242" i="2" s="1"/>
  <c r="H244" i="2"/>
  <c r="D246" i="2"/>
  <c r="E246" i="2"/>
  <c r="J246" i="2"/>
  <c r="S246" i="2"/>
  <c r="T246" i="2"/>
  <c r="G247" i="2"/>
  <c r="G246" i="2"/>
  <c r="J247" i="2"/>
  <c r="N247" i="2"/>
  <c r="N246" i="2" s="1"/>
  <c r="F248" i="2"/>
  <c r="I248" i="2" s="1"/>
  <c r="H248" i="2"/>
  <c r="F249" i="2"/>
  <c r="I249" i="2" s="1"/>
  <c r="H249" i="2"/>
  <c r="H247" i="2" s="1"/>
  <c r="H246" i="2" s="1"/>
  <c r="G250" i="2"/>
  <c r="I250" i="2"/>
  <c r="J250" i="2"/>
  <c r="F251" i="2"/>
  <c r="H251" i="2"/>
  <c r="H250" i="2"/>
  <c r="H252" i="2"/>
  <c r="S255" i="2"/>
  <c r="T255" i="2"/>
  <c r="J262" i="2"/>
  <c r="J255" i="2" s="1"/>
  <c r="N262" i="2"/>
  <c r="N255" i="2" s="1"/>
  <c r="S262" i="2"/>
  <c r="T262" i="2"/>
  <c r="D270" i="2"/>
  <c r="E270" i="2"/>
  <c r="F270" i="2"/>
  <c r="J270" i="2"/>
  <c r="N270" i="2"/>
  <c r="S270" i="2"/>
  <c r="T270" i="2"/>
  <c r="G276" i="2"/>
  <c r="G270" i="2"/>
  <c r="F277" i="2"/>
  <c r="I277" i="2"/>
  <c r="I276" i="2" s="1"/>
  <c r="I270" i="2" s="1"/>
  <c r="H277" i="2"/>
  <c r="H276" i="2"/>
  <c r="H270" i="2" s="1"/>
  <c r="D279" i="2"/>
  <c r="E279" i="2"/>
  <c r="F279" i="2"/>
  <c r="J279" i="2"/>
  <c r="N279" i="2"/>
  <c r="R279" i="2"/>
  <c r="S279" i="2"/>
  <c r="T279" i="2"/>
  <c r="F280" i="2"/>
  <c r="G280" i="2"/>
  <c r="I280" i="2"/>
  <c r="I279" i="2" s="1"/>
  <c r="F281" i="2"/>
  <c r="H281" i="2"/>
  <c r="H280" i="2"/>
  <c r="I281" i="2"/>
  <c r="G282" i="2"/>
  <c r="I282" i="2"/>
  <c r="F283" i="2"/>
  <c r="H283" i="2"/>
  <c r="H282" i="2" s="1"/>
  <c r="D285" i="2"/>
  <c r="E285" i="2"/>
  <c r="J285" i="2"/>
  <c r="N285" i="2"/>
  <c r="F290" i="2"/>
  <c r="I290" i="2"/>
  <c r="F291" i="2"/>
  <c r="G291" i="2"/>
  <c r="G292" i="2"/>
  <c r="G285" i="2" s="1"/>
  <c r="F293" i="2"/>
  <c r="I293" i="2" s="1"/>
  <c r="I292" i="2" s="1"/>
  <c r="I285" i="2" s="1"/>
  <c r="H293" i="2"/>
  <c r="F294" i="2"/>
  <c r="H294" i="2"/>
  <c r="H292" i="2" s="1"/>
  <c r="G295" i="2"/>
  <c r="F296" i="2"/>
  <c r="I296" i="2" s="1"/>
  <c r="I295" i="2" s="1"/>
  <c r="H296" i="2"/>
  <c r="H295" i="2"/>
  <c r="I297" i="2"/>
  <c r="F298" i="2"/>
  <c r="G298" i="2"/>
  <c r="G297" i="2"/>
  <c r="F299" i="2"/>
  <c r="H299" i="2"/>
  <c r="F300" i="2"/>
  <c r="H300" i="2"/>
  <c r="F301" i="2"/>
  <c r="H301" i="2"/>
  <c r="G302" i="2"/>
  <c r="I302" i="2"/>
  <c r="M302" i="2"/>
  <c r="N302" i="2"/>
  <c r="O302" i="2"/>
  <c r="P302" i="2"/>
  <c r="Q302" i="2"/>
  <c r="R302" i="2"/>
  <c r="S302" i="2"/>
  <c r="T302" i="2"/>
  <c r="F303" i="2"/>
  <c r="H303" i="2"/>
  <c r="H302" i="2" s="1"/>
  <c r="R304" i="2"/>
  <c r="S304" i="2"/>
  <c r="T304" i="2"/>
  <c r="T310" i="2"/>
  <c r="D311" i="2"/>
  <c r="E311" i="2"/>
  <c r="J311" i="2"/>
  <c r="J310" i="2" s="1"/>
  <c r="F312" i="2"/>
  <c r="G312" i="2"/>
  <c r="M312" i="2"/>
  <c r="N312" i="2"/>
  <c r="O312" i="2"/>
  <c r="P312" i="2"/>
  <c r="Q312" i="2"/>
  <c r="Q311" i="2" s="1"/>
  <c r="R312" i="2"/>
  <c r="S312" i="2"/>
  <c r="T312" i="2"/>
  <c r="F313" i="2"/>
  <c r="I313" i="2" s="1"/>
  <c r="I312" i="2" s="1"/>
  <c r="H313" i="2"/>
  <c r="H312" i="2"/>
  <c r="H311" i="2" s="1"/>
  <c r="H310" i="2" s="1"/>
  <c r="F314" i="2"/>
  <c r="H314" i="2"/>
  <c r="I314" i="2"/>
  <c r="G315" i="2"/>
  <c r="G311" i="2"/>
  <c r="G310" i="2" s="1"/>
  <c r="M315" i="2"/>
  <c r="M311" i="2" s="1"/>
  <c r="N315" i="2"/>
  <c r="O315" i="2"/>
  <c r="O311" i="2" s="1"/>
  <c r="P315" i="2"/>
  <c r="Q315" i="2"/>
  <c r="R315" i="2"/>
  <c r="S315" i="2"/>
  <c r="S311" i="2" s="1"/>
  <c r="T315" i="2"/>
  <c r="F316" i="2"/>
  <c r="I316" i="2" s="1"/>
  <c r="I315" i="2" s="1"/>
  <c r="H316" i="2"/>
  <c r="H315" i="2"/>
  <c r="D318" i="2"/>
  <c r="D310" i="2"/>
  <c r="E318" i="2"/>
  <c r="E310" i="2"/>
  <c r="G318" i="2"/>
  <c r="H318" i="2"/>
  <c r="M318" i="2"/>
  <c r="N318" i="2"/>
  <c r="O318" i="2"/>
  <c r="P318" i="2"/>
  <c r="Q318" i="2"/>
  <c r="R318" i="2"/>
  <c r="S318" i="2"/>
  <c r="T318" i="2"/>
  <c r="F319" i="2"/>
  <c r="H319" i="2"/>
  <c r="I319" i="2"/>
  <c r="F320" i="2"/>
  <c r="F318" i="2" s="1"/>
  <c r="H320" i="2"/>
  <c r="F322" i="2"/>
  <c r="I322" i="2"/>
  <c r="H322" i="2"/>
  <c r="K322" i="2"/>
  <c r="F323" i="2"/>
  <c r="I323" i="2"/>
  <c r="H323" i="2"/>
  <c r="F324" i="2"/>
  <c r="I324" i="2" s="1"/>
  <c r="H324" i="2"/>
  <c r="K324" i="2"/>
  <c r="F325" i="2"/>
  <c r="I325" i="2" s="1"/>
  <c r="H325" i="2"/>
  <c r="D327" i="2"/>
  <c r="E327" i="2"/>
  <c r="I327" i="2"/>
  <c r="M327" i="2"/>
  <c r="N327" i="2"/>
  <c r="O327" i="2"/>
  <c r="P327" i="2"/>
  <c r="Q327" i="2"/>
  <c r="R327" i="2"/>
  <c r="S327" i="2"/>
  <c r="T327" i="2"/>
  <c r="F328" i="2"/>
  <c r="F327" i="2" s="1"/>
  <c r="G328" i="2"/>
  <c r="G327" i="2" s="1"/>
  <c r="H328" i="2"/>
  <c r="H327" i="2" s="1"/>
  <c r="F329" i="2"/>
  <c r="H329" i="2"/>
  <c r="G332" i="2"/>
  <c r="D334" i="2"/>
  <c r="E334" i="2"/>
  <c r="F334" i="2"/>
  <c r="G335" i="2"/>
  <c r="G334" i="2"/>
  <c r="K335" i="2"/>
  <c r="M335" i="2"/>
  <c r="M334" i="2"/>
  <c r="N335" i="2"/>
  <c r="N334" i="2"/>
  <c r="O335" i="2"/>
  <c r="O334" i="2"/>
  <c r="P335" i="2"/>
  <c r="P334" i="2"/>
  <c r="Q335" i="2"/>
  <c r="Q334" i="2"/>
  <c r="R335" i="2"/>
  <c r="R334" i="2"/>
  <c r="S335" i="2"/>
  <c r="S334" i="2"/>
  <c r="T335" i="2"/>
  <c r="T334" i="2"/>
  <c r="H336" i="2"/>
  <c r="H335" i="2"/>
  <c r="H334" i="2" s="1"/>
  <c r="I336" i="2"/>
  <c r="I335" i="2" s="1"/>
  <c r="I334" i="2" s="1"/>
  <c r="D346" i="2"/>
  <c r="E346" i="2"/>
  <c r="E392" i="2" s="1"/>
  <c r="J346" i="2"/>
  <c r="N346" i="2"/>
  <c r="S346" i="2"/>
  <c r="T346" i="2"/>
  <c r="G347" i="2"/>
  <c r="G346" i="2" s="1"/>
  <c r="F348" i="2"/>
  <c r="I348" i="2" s="1"/>
  <c r="I347" i="2" s="1"/>
  <c r="H348" i="2"/>
  <c r="F349" i="2"/>
  <c r="H349" i="2"/>
  <c r="H347" i="2" s="1"/>
  <c r="Q358" i="2"/>
  <c r="R358" i="2"/>
  <c r="S358" i="2"/>
  <c r="T358" i="2"/>
  <c r="S366" i="2"/>
  <c r="T366" i="2"/>
  <c r="S374" i="2"/>
  <c r="T374" i="2"/>
  <c r="G385" i="2"/>
  <c r="F386" i="2"/>
  <c r="F346" i="2" s="1"/>
  <c r="H386" i="2"/>
  <c r="H385" i="2" s="1"/>
  <c r="F387" i="2"/>
  <c r="I387" i="2" s="1"/>
  <c r="H387" i="2"/>
  <c r="F388" i="2"/>
  <c r="I388" i="2" s="1"/>
  <c r="H388" i="2"/>
  <c r="F389" i="2"/>
  <c r="I389" i="2" s="1"/>
  <c r="H389" i="2"/>
  <c r="F390" i="2"/>
  <c r="H390" i="2"/>
  <c r="G396" i="2"/>
  <c r="I396" i="2"/>
  <c r="F397" i="2"/>
  <c r="H397" i="2"/>
  <c r="F400" i="2"/>
  <c r="H400" i="2"/>
  <c r="F402" i="2"/>
  <c r="G402" i="2"/>
  <c r="H402" i="2" s="1"/>
  <c r="G403" i="2"/>
  <c r="F406" i="2"/>
  <c r="G407" i="2"/>
  <c r="F408" i="2"/>
  <c r="H408" i="2"/>
  <c r="H407" i="2" s="1"/>
  <c r="H403" i="2" s="1"/>
  <c r="G409" i="2"/>
  <c r="I409" i="2"/>
  <c r="G411" i="2"/>
  <c r="F412" i="2"/>
  <c r="I412" i="2" s="1"/>
  <c r="H412" i="2"/>
  <c r="H411" i="2" s="1"/>
  <c r="M415" i="2"/>
  <c r="S415" i="2"/>
  <c r="T415" i="2"/>
  <c r="D416" i="2"/>
  <c r="E416" i="2"/>
  <c r="G416" i="2"/>
  <c r="H416" i="2" s="1"/>
  <c r="I416" i="2"/>
  <c r="F417" i="2"/>
  <c r="H417" i="2"/>
  <c r="D418" i="2"/>
  <c r="D409" i="2" s="1"/>
  <c r="E418" i="2"/>
  <c r="F418" i="2"/>
  <c r="G418" i="2"/>
  <c r="H418" i="2" s="1"/>
  <c r="I418" i="2"/>
  <c r="F419" i="2"/>
  <c r="F416" i="2" s="1"/>
  <c r="H419" i="2"/>
  <c r="H409" i="2" s="1"/>
  <c r="D420" i="2"/>
  <c r="E420" i="2"/>
  <c r="E409" i="2" s="1"/>
  <c r="G420" i="2"/>
  <c r="H420" i="2" s="1"/>
  <c r="I420" i="2"/>
  <c r="F423" i="2"/>
  <c r="F420" i="2" s="1"/>
  <c r="F424" i="2"/>
  <c r="H424" i="2"/>
  <c r="D425" i="2"/>
  <c r="D422" i="2" s="1"/>
  <c r="D411" i="2" s="1"/>
  <c r="D407" i="2" s="1"/>
  <c r="E425" i="2"/>
  <c r="E422" i="2" s="1"/>
  <c r="E411" i="2" s="1"/>
  <c r="E407" i="2" s="1"/>
  <c r="G425" i="2"/>
  <c r="G422" i="2" s="1"/>
  <c r="H422" i="2" s="1"/>
  <c r="I425" i="2"/>
  <c r="I422" i="2" s="1"/>
  <c r="S426" i="2"/>
  <c r="Q429" i="2"/>
  <c r="R435" i="2"/>
  <c r="O440" i="2"/>
  <c r="F442" i="2"/>
  <c r="G442" i="2"/>
  <c r="H442" i="2"/>
  <c r="F443" i="2"/>
  <c r="H443" i="2"/>
  <c r="I443" i="2"/>
  <c r="F444" i="2"/>
  <c r="F425" i="2" s="1"/>
  <c r="F422" i="2" s="1"/>
  <c r="H444" i="2"/>
  <c r="H396" i="2"/>
  <c r="F445" i="2"/>
  <c r="H445" i="2"/>
  <c r="F447" i="2"/>
  <c r="D449" i="2"/>
  <c r="D446" i="2" s="1"/>
  <c r="E449" i="2"/>
  <c r="E446" i="2" s="1"/>
  <c r="G449" i="2"/>
  <c r="G446" i="2"/>
  <c r="H446" i="2" s="1"/>
  <c r="I449" i="2"/>
  <c r="I446" i="2" s="1"/>
  <c r="F453" i="2"/>
  <c r="F449" i="2"/>
  <c r="F446" i="2" s="1"/>
  <c r="H453" i="2"/>
  <c r="J457" i="2"/>
  <c r="J475" i="2" s="1"/>
  <c r="L484" i="2" s="1"/>
  <c r="N457" i="2"/>
  <c r="D475" i="2"/>
  <c r="F475" i="2"/>
  <c r="G475" i="2"/>
  <c r="H475" i="2" s="1"/>
  <c r="I475" i="2"/>
  <c r="N475" i="2"/>
  <c r="N478" i="2"/>
  <c r="S478" i="2"/>
  <c r="E479" i="2"/>
  <c r="D483" i="2"/>
  <c r="E483" i="2"/>
  <c r="F483" i="2"/>
  <c r="G483" i="2"/>
  <c r="H483" i="2"/>
  <c r="I483" i="2"/>
  <c r="D484" i="2"/>
  <c r="D487" i="2"/>
  <c r="E484" i="2"/>
  <c r="F484" i="2"/>
  <c r="F487" i="2" s="1"/>
  <c r="G484" i="2"/>
  <c r="H484" i="2"/>
  <c r="I484" i="2"/>
  <c r="D485" i="2"/>
  <c r="E485" i="2"/>
  <c r="E487" i="2"/>
  <c r="E488" i="2" s="1"/>
  <c r="F485" i="2"/>
  <c r="G485" i="2"/>
  <c r="H485" i="2"/>
  <c r="I485" i="2"/>
  <c r="L485" i="2"/>
  <c r="G486" i="2"/>
  <c r="H486" i="2"/>
  <c r="I486" i="2"/>
  <c r="I487" i="2" s="1"/>
  <c r="G487" i="2"/>
  <c r="J487" i="2"/>
  <c r="N487" i="2"/>
  <c r="C490" i="2"/>
  <c r="C491" i="2" s="1"/>
  <c r="G491" i="2" s="1"/>
  <c r="I491" i="2" s="1"/>
  <c r="C496" i="2"/>
  <c r="C499" i="2"/>
  <c r="C500" i="2" s="1"/>
  <c r="C501" i="2" s="1"/>
  <c r="C502" i="2"/>
  <c r="H487" i="2"/>
  <c r="R311" i="2"/>
  <c r="H116" i="2"/>
  <c r="F311" i="2"/>
  <c r="G290" i="2"/>
  <c r="R167" i="2"/>
  <c r="N167" i="2"/>
  <c r="F147" i="2"/>
  <c r="I147" i="2" s="1"/>
  <c r="I143" i="2" s="1"/>
  <c r="H147" i="2"/>
  <c r="H143" i="2" s="1"/>
  <c r="F113" i="2"/>
  <c r="F107" i="2"/>
  <c r="I113" i="2"/>
  <c r="N26" i="2"/>
  <c r="N10" i="2"/>
  <c r="N392" i="2" s="1"/>
  <c r="N474" i="2" s="1"/>
  <c r="N479" i="2" s="1"/>
  <c r="N488" i="2" s="1"/>
  <c r="D10" i="2"/>
  <c r="F17" i="2"/>
  <c r="F10" i="2" s="1"/>
  <c r="H17" i="2"/>
  <c r="H15" i="2" s="1"/>
  <c r="Q457" i="2"/>
  <c r="Q475" i="2" s="1"/>
  <c r="H449" i="2"/>
  <c r="I417" i="2"/>
  <c r="I386" i="2"/>
  <c r="I385" i="2" s="1"/>
  <c r="T311" i="2"/>
  <c r="P311" i="2"/>
  <c r="G279" i="2"/>
  <c r="F246" i="2"/>
  <c r="F186" i="2"/>
  <c r="H159" i="2"/>
  <c r="T138" i="2"/>
  <c r="P138" i="2"/>
  <c r="G107" i="2"/>
  <c r="G113" i="2"/>
  <c r="I96" i="2"/>
  <c r="I95" i="2" s="1"/>
  <c r="F80" i="2"/>
  <c r="I80" i="2" s="1"/>
  <c r="H80" i="2"/>
  <c r="D78" i="2"/>
  <c r="J10" i="2"/>
  <c r="J392" i="2" s="1"/>
  <c r="J474" i="2" s="1"/>
  <c r="P392" i="2"/>
  <c r="P474" i="2" s="1"/>
  <c r="P479" i="2" s="1"/>
  <c r="T392" i="2"/>
  <c r="T474" i="2" s="1"/>
  <c r="T479" i="2" s="1"/>
  <c r="S457" i="2"/>
  <c r="S475" i="2" s="1"/>
  <c r="N311" i="2"/>
  <c r="N310" i="2"/>
  <c r="F148" i="2"/>
  <c r="I148" i="2"/>
  <c r="H148" i="2"/>
  <c r="F138" i="2"/>
  <c r="H47" i="2"/>
  <c r="F18" i="2"/>
  <c r="I18" i="2" s="1"/>
  <c r="H18" i="2"/>
  <c r="O457" i="2"/>
  <c r="O475" i="2"/>
  <c r="D138" i="2"/>
  <c r="D392" i="2"/>
  <c r="D474" i="2" s="1"/>
  <c r="D479" i="2" s="1"/>
  <c r="D488" i="2" s="1"/>
  <c r="H120" i="2"/>
  <c r="H82" i="2"/>
  <c r="S68" i="2"/>
  <c r="O68" i="2"/>
  <c r="F19" i="2"/>
  <c r="H19" i="2"/>
  <c r="O392" i="2"/>
  <c r="O474" i="2"/>
  <c r="O479" i="2" s="1"/>
  <c r="O488" i="2" s="1"/>
  <c r="R392" i="2"/>
  <c r="R474" i="2"/>
  <c r="R479" i="2" s="1"/>
  <c r="M457" i="2"/>
  <c r="M475" i="2"/>
  <c r="H298" i="2"/>
  <c r="H297" i="2" s="1"/>
  <c r="H291" i="2"/>
  <c r="F285" i="2"/>
  <c r="H154" i="2"/>
  <c r="H153" i="2" s="1"/>
  <c r="H45" i="2"/>
  <c r="H34" i="2" s="1"/>
  <c r="H26" i="2" s="1"/>
  <c r="H24" i="2"/>
  <c r="F78" i="2"/>
  <c r="F392" i="2"/>
  <c r="F474" i="2" s="1"/>
  <c r="F479" i="2" s="1"/>
  <c r="F488" i="2" s="1"/>
  <c r="P488" i="2"/>
  <c r="I411" i="2" l="1"/>
  <c r="I407" i="2"/>
  <c r="I403" i="2" s="1"/>
  <c r="I457" i="2" s="1"/>
  <c r="H346" i="2"/>
  <c r="G392" i="2"/>
  <c r="G474" i="2" s="1"/>
  <c r="H279" i="2"/>
  <c r="H197" i="2"/>
  <c r="H186" i="2"/>
  <c r="I82" i="2"/>
  <c r="I79" i="2" s="1"/>
  <c r="I78" i="2" s="1"/>
  <c r="T488" i="2"/>
  <c r="I138" i="2"/>
  <c r="I26" i="2"/>
  <c r="C493" i="2"/>
  <c r="C494" i="2" s="1"/>
  <c r="I490" i="2"/>
  <c r="E403" i="2"/>
  <c r="E396" i="2" s="1"/>
  <c r="F411" i="2"/>
  <c r="F407" i="2" s="1"/>
  <c r="F409" i="2"/>
  <c r="I311" i="2"/>
  <c r="I310" i="2" s="1"/>
  <c r="H290" i="2"/>
  <c r="H285" i="2"/>
  <c r="S479" i="2"/>
  <c r="S488" i="2" s="1"/>
  <c r="H138" i="2"/>
  <c r="I68" i="2"/>
  <c r="J479" i="2"/>
  <c r="J488" i="2" s="1"/>
  <c r="L483" i="2"/>
  <c r="L488" i="2" s="1"/>
  <c r="D403" i="2"/>
  <c r="I346" i="2"/>
  <c r="I247" i="2"/>
  <c r="I246" i="2" s="1"/>
  <c r="H107" i="2"/>
  <c r="H113" i="2"/>
  <c r="H10" i="2"/>
  <c r="Q479" i="2"/>
  <c r="Q488" i="2" s="1"/>
  <c r="R488" i="2"/>
  <c r="G457" i="2"/>
  <c r="H425" i="2"/>
  <c r="C492" i="2"/>
  <c r="I17" i="2"/>
  <c r="I15" i="2" s="1"/>
  <c r="I10" i="2" s="1"/>
  <c r="I320" i="2"/>
  <c r="I318" i="2" s="1"/>
  <c r="H21" i="2"/>
  <c r="H20" i="2"/>
  <c r="F310" i="2"/>
  <c r="D457" i="2" l="1"/>
  <c r="D396" i="2" s="1"/>
  <c r="I392" i="2"/>
  <c r="I474" i="2" s="1"/>
  <c r="I479" i="2" s="1"/>
  <c r="I488" i="2" s="1"/>
  <c r="F403" i="2"/>
  <c r="H474" i="2"/>
  <c r="G479" i="2"/>
  <c r="F457" i="2" l="1"/>
  <c r="F396" i="2" s="1"/>
  <c r="G488" i="2"/>
  <c r="H488" i="2" s="1"/>
  <c r="H479" i="2"/>
</calcChain>
</file>

<file path=xl/sharedStrings.xml><?xml version="1.0" encoding="utf-8"?>
<sst xmlns="http://schemas.openxmlformats.org/spreadsheetml/2006/main" count="586" uniqueCount="355">
  <si>
    <t>v tis.</t>
  </si>
  <si>
    <t>Kapitálové výdavky spolu:</t>
  </si>
  <si>
    <t>01.1.1 Výdavky verejnej správy</t>
  </si>
  <si>
    <t>625 001</t>
  </si>
  <si>
    <t>625 002</t>
  </si>
  <si>
    <t>Tovary a služby</t>
  </si>
  <si>
    <t>631 001</t>
  </si>
  <si>
    <t>633 002</t>
  </si>
  <si>
    <t>Dopravné</t>
  </si>
  <si>
    <t>634 001</t>
  </si>
  <si>
    <t>635 001</t>
  </si>
  <si>
    <t>635 002</t>
  </si>
  <si>
    <t>01.1.2 Finančná a rozpočtová oblasť</t>
  </si>
  <si>
    <t>01.3.3 Iné všeobecné služby /matrika/</t>
  </si>
  <si>
    <t>02.2.0 Civilná obrana</t>
  </si>
  <si>
    <t>632 001</t>
  </si>
  <si>
    <t>04.2.1.3 Veterinárna oblasť</t>
  </si>
  <si>
    <t>06.4.0 Verejné osvetlenie</t>
  </si>
  <si>
    <t>641 001</t>
  </si>
  <si>
    <t>08.3.0 Vysielacie a vydavateľské služby</t>
  </si>
  <si>
    <t xml:space="preserve">10.1.2.3 </t>
  </si>
  <si>
    <t>10.2.0.1</t>
  </si>
  <si>
    <t>Bežné výdavky spolu:</t>
  </si>
  <si>
    <t xml:space="preserve">Kapitálové príjmy </t>
  </si>
  <si>
    <t xml:space="preserve">Bežné príjmy </t>
  </si>
  <si>
    <t>Rozpočtové príjmy spolu</t>
  </si>
  <si>
    <t>Bežné výdavky spolu</t>
  </si>
  <si>
    <t>Kapitálové výdavky spolu</t>
  </si>
  <si>
    <t>632 001 1</t>
  </si>
  <si>
    <t>Sumarizácia</t>
  </si>
  <si>
    <t>Odmeny</t>
  </si>
  <si>
    <t>dopravné a informač.značky</t>
  </si>
  <si>
    <t>09.5.0.1 Zariadenia pre záujmové vzdelávanie</t>
  </si>
  <si>
    <t>04.1.2 Všeobecno-pracovná oblasť - aktivač.čin.</t>
  </si>
  <si>
    <t>717 001 20</t>
  </si>
  <si>
    <t>717 001 30</t>
  </si>
  <si>
    <t>717 001 40</t>
  </si>
  <si>
    <t>1500 budeme vinkulovať z RF</t>
  </si>
  <si>
    <t>stravné</t>
  </si>
  <si>
    <t>knižnica</t>
  </si>
  <si>
    <t>Čerpanie k 30.9.2005</t>
  </si>
  <si>
    <t>3.zmena</t>
  </si>
  <si>
    <t>4.zmena</t>
  </si>
  <si>
    <t>stroje a prístroje</t>
  </si>
  <si>
    <t>Cestovné náhrady</t>
  </si>
  <si>
    <t>Energie, voda a komunikácie</t>
  </si>
  <si>
    <t xml:space="preserve">Materiál </t>
  </si>
  <si>
    <t>Rutinná a štandartná údržba</t>
  </si>
  <si>
    <t>Služby</t>
  </si>
  <si>
    <t>Splácanie úrokov v tuzemsku</t>
  </si>
  <si>
    <t>Transfery v rámci verejnej správy</t>
  </si>
  <si>
    <t>Transfery jednotlivcom a nez.PO</t>
  </si>
  <si>
    <t>Poistné a príspevok do poisťovní</t>
  </si>
  <si>
    <t>hotovo</t>
  </si>
  <si>
    <t>hotovo cez s.r.o.</t>
  </si>
  <si>
    <t>Rok</t>
  </si>
  <si>
    <t>12 rokov</t>
  </si>
  <si>
    <t>úrok - mesačný</t>
  </si>
  <si>
    <t>úrok - ročný</t>
  </si>
  <si>
    <t>istina - mesačná</t>
  </si>
  <si>
    <t>istina - ročná</t>
  </si>
  <si>
    <t>hotovo (zníženie i)</t>
  </si>
  <si>
    <t>cez s.r.o.</t>
  </si>
  <si>
    <t>hotovo-</t>
  </si>
  <si>
    <t>zmena počas</t>
  </si>
  <si>
    <t>roka 2006</t>
  </si>
  <si>
    <t>MŠ</t>
  </si>
  <si>
    <t>z toho</t>
  </si>
  <si>
    <t>pozor končí</t>
  </si>
  <si>
    <t>asistenti</t>
  </si>
  <si>
    <t>zrez stromov,činovský,kosenie</t>
  </si>
  <si>
    <t>Bežné výdavky</t>
  </si>
  <si>
    <t>Kapitálové výdavky</t>
  </si>
  <si>
    <t>ANUITA</t>
  </si>
  <si>
    <t>ROK</t>
  </si>
  <si>
    <t>Úrok</t>
  </si>
  <si>
    <t>istina</t>
  </si>
  <si>
    <t>Úver na 12 rokov 15 mil. Sk  - cesty,chodníky</t>
  </si>
  <si>
    <t>pracovné odevy, náradie, materiál</t>
  </si>
  <si>
    <t>5.zmena 2005</t>
  </si>
  <si>
    <t>Mzdy, platy, sl.príjmy a ost.osobné vyrovnania</t>
  </si>
  <si>
    <t>v tis. Sk</t>
  </si>
  <si>
    <t>Tarifný plat, osob. plat, základný plat</t>
  </si>
  <si>
    <t>Príplatky</t>
  </si>
  <si>
    <t>Poistné do ostatných zdravotných poisťovní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</si>
  <si>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</si>
  <si>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</si>
  <si>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</si>
  <si>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</si>
  <si>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</si>
  <si>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Na poistenie do rezervného fondu solidarity</t>
  </si>
  <si>
    <t>Príspevok do doplnkových dôchodkových poisťovní</t>
  </si>
  <si>
    <t>Tuzemské</t>
  </si>
  <si>
    <t>Energie</t>
  </si>
  <si>
    <t>Vodné, stočné</t>
  </si>
  <si>
    <t>Poštovné služby a telekomunikačné služby</t>
  </si>
  <si>
    <t>Interiérové vybavenie</t>
  </si>
  <si>
    <t>Výpočtová technika</t>
  </si>
  <si>
    <t>Všeobecný materiál</t>
  </si>
  <si>
    <t>Softvér a licencie</t>
  </si>
  <si>
    <t>Reprezentačné</t>
  </si>
  <si>
    <t>Palivo, mazivá, oleje, špeciálne kvapaliny</t>
  </si>
  <si>
    <t>Servis, údržba, opravy a výdavky s tým spojené</t>
  </si>
  <si>
    <t>Poistenie</t>
  </si>
  <si>
    <t>Interiérového vybavenia</t>
  </si>
  <si>
    <t>Výpočtovej techniky</t>
  </si>
  <si>
    <t>Budov, objektov alebo ich častí</t>
  </si>
  <si>
    <t>Prevádzkových strojov, prístrojov, zariadení, techniky</t>
  </si>
  <si>
    <t>Školenia, kurzy, semináre, porady, konferencie, symp.</t>
  </si>
  <si>
    <t>Všeobecné služby</t>
  </si>
  <si>
    <t>Špeciálne služby</t>
  </si>
  <si>
    <t>Poplatky a odvody</t>
  </si>
  <si>
    <t>Poistné</t>
  </si>
  <si>
    <t>Odmeny a príspevky</t>
  </si>
  <si>
    <t>Odmeny zamestnancov mimopracovného pomeru</t>
  </si>
  <si>
    <t>Poštové služby a telekomunikačné služby</t>
  </si>
  <si>
    <t>Telekomunikačne techniky</t>
  </si>
  <si>
    <t>Subjektu verejnej správy</t>
  </si>
  <si>
    <t>Banke a pobočke zahraničnej banky</t>
  </si>
  <si>
    <t>Prevádzkové stroje, prístroje, zariadenia, technika</t>
  </si>
  <si>
    <t>Pracovné odevy, obuv a pracovné pomôcky</t>
  </si>
  <si>
    <t>Materiál</t>
  </si>
  <si>
    <t>Potraviny</t>
  </si>
  <si>
    <t>Príspevkovej organizácii</t>
  </si>
  <si>
    <t>Nezisk. organizácii poskyt. všeobecne prosp. služby</t>
  </si>
  <si>
    <t>Na dávku v hmotnej núdzi a príspevky k dávke</t>
  </si>
  <si>
    <t>Jednotlivcovi</t>
  </si>
  <si>
    <t>Transfery prísp. organiz. nezaradenej v regis. organ.</t>
  </si>
  <si>
    <t>Nákup prevádzk. strojov, prístr., zariadení, techniky a náradia</t>
  </si>
  <si>
    <t>Príjmové finančné operácie</t>
  </si>
  <si>
    <t>Hospodárenie celkom</t>
  </si>
  <si>
    <t>Rozpočtové výdavky spolu</t>
  </si>
  <si>
    <t xml:space="preserve">01.7.0 Trnasakcie verejného dlhu </t>
  </si>
  <si>
    <t>03.2.0 Ochrana pred požiarmi</t>
  </si>
  <si>
    <t xml:space="preserve"> 04.7.3 Cestovný ruch </t>
  </si>
  <si>
    <t xml:space="preserve">Knihy, časopisy, noviny, učebnice, učebné pomôcky </t>
  </si>
  <si>
    <t>05.1.0 Nakladanie s odpadmi</t>
  </si>
  <si>
    <t>06.6.0 Bývanie a občianska vybavenosť inde nekalsifikované</t>
  </si>
  <si>
    <t>08.4.0 Náboženské a iné spoločenské služby</t>
  </si>
  <si>
    <t>08.6.0 Rekreácia, kultúra a náboženstvo inde neklasifikované</t>
  </si>
  <si>
    <t>klub detí</t>
  </si>
  <si>
    <t xml:space="preserve">školská jedáleň </t>
  </si>
  <si>
    <t>prostriedky na bežné výdavky - mzdy a odvody</t>
  </si>
  <si>
    <t>prostriedky na bežné výdavky - prevádzka</t>
  </si>
  <si>
    <t>vrátenie vlastných príjmov</t>
  </si>
  <si>
    <t>vzdelávacie poukazy</t>
  </si>
  <si>
    <t xml:space="preserve">04.1.2 Všeobecno-pracovná oblasť </t>
  </si>
  <si>
    <t xml:space="preserve">04.1.1  Všeobecná ekonomická a obchodná oblasť </t>
  </si>
  <si>
    <t>04.5.1.3 Správa a údržba ciest</t>
  </si>
  <si>
    <t>04.7.3 Cestovný ruch</t>
  </si>
  <si>
    <t>05.1.0   Nakladanie s odpadmi</t>
  </si>
  <si>
    <t>05.3.0 Znižovanie znečisťovania</t>
  </si>
  <si>
    <t>05.6.0 Ochrana životného prostredia inde neklasifikovaná</t>
  </si>
  <si>
    <t>06.1.0 Rozvoj bývania</t>
  </si>
  <si>
    <t>Realizácia nových stavieb XXXXXXXX</t>
  </si>
  <si>
    <t>Ostatné kapitálové výdavky XXXXXXXXX</t>
  </si>
  <si>
    <t>Rekonštrukcia a modernizácia XXXXXXX</t>
  </si>
  <si>
    <t>Transfery v rámci verejnej správy - obci XXXXXXXXX</t>
  </si>
  <si>
    <t>Nákup nákl. vozidiel, ťahačov, príp. vozidiel XXXXXXXX.</t>
  </si>
  <si>
    <t>08.1.0 Rekreačné a športové lužby</t>
  </si>
  <si>
    <t xml:space="preserve">09.1.2.1 Základné vzdelanie s bežnou starostlivosťou  </t>
  </si>
  <si>
    <t>09.1.1.1  Predškolská výchova s bežnou starostlivosťou</t>
  </si>
  <si>
    <t xml:space="preserve">09.1.2.1 Základné vzdelanie s bežnou starostlivosťou </t>
  </si>
  <si>
    <t>10.2.0</t>
  </si>
  <si>
    <t>10.4.0</t>
  </si>
  <si>
    <t>651 002  10</t>
  </si>
  <si>
    <t>651 002  20</t>
  </si>
  <si>
    <t>651 002  30</t>
  </si>
  <si>
    <t>632 001 20</t>
  </si>
  <si>
    <t>632 001 10</t>
  </si>
  <si>
    <t>633 006  10</t>
  </si>
  <si>
    <t>633 006  20</t>
  </si>
  <si>
    <t>642 014  10</t>
  </si>
  <si>
    <t>642 014  20</t>
  </si>
  <si>
    <t>717 001  10</t>
  </si>
  <si>
    <t>717 001  20</t>
  </si>
  <si>
    <t>717 002  10</t>
  </si>
  <si>
    <t xml:space="preserve">717 002  20 </t>
  </si>
  <si>
    <t>energie - plyn</t>
  </si>
  <si>
    <t>Ostatné kultúrne služby</t>
  </si>
  <si>
    <t>udržba MR</t>
  </si>
  <si>
    <t>tlač ob.novín</t>
  </si>
  <si>
    <t>Energie el.energia</t>
  </si>
  <si>
    <t>Energie plyn</t>
  </si>
  <si>
    <t xml:space="preserve">Energie </t>
  </si>
  <si>
    <t>v tis.Sk</t>
  </si>
  <si>
    <t xml:space="preserve"> </t>
  </si>
  <si>
    <t>08.2.05 Knižnice</t>
  </si>
  <si>
    <t>Energie- el.energia</t>
  </si>
  <si>
    <t>údržba budovy</t>
  </si>
  <si>
    <t>08.2.0.9</t>
  </si>
  <si>
    <t>odvody</t>
  </si>
  <si>
    <t>palivo</t>
  </si>
  <si>
    <t>2008 po úprave</t>
  </si>
  <si>
    <t>v tis. SK</t>
  </si>
  <si>
    <t>2008- po úprave</t>
  </si>
  <si>
    <t>naturálne mzdy</t>
  </si>
  <si>
    <t>služby</t>
  </si>
  <si>
    <t>prac.odev,. Ochr.prostriedky</t>
  </si>
  <si>
    <t>Výdavkové finančné operácie</t>
  </si>
  <si>
    <t>v EUR</t>
  </si>
  <si>
    <t>v  EUR</t>
  </si>
  <si>
    <t>Energie - el.energia</t>
  </si>
  <si>
    <t>výročné schodze občerstvenie/</t>
  </si>
  <si>
    <t>známky, poplatky</t>
  </si>
  <si>
    <t>Poistné VZP</t>
  </si>
  <si>
    <t>Poistné RFS</t>
  </si>
  <si>
    <t>Knihy, publikácie</t>
  </si>
  <si>
    <t>odmeny</t>
  </si>
  <si>
    <t xml:space="preserve">Palivo, mazivá, oleje, </t>
  </si>
  <si>
    <t>Servis a údržba DP</t>
  </si>
  <si>
    <t>Prepravné a nájom DP</t>
  </si>
  <si>
    <t>Prevádzkových strojov, prístrojov</t>
  </si>
  <si>
    <t xml:space="preserve">Školenia, </t>
  </si>
  <si>
    <t>01.6.0 Voľby, referendum</t>
  </si>
  <si>
    <t>palivo - kosačka, krovinorez</t>
  </si>
  <si>
    <t>Poistenie zákonné, havarijné</t>
  </si>
  <si>
    <t>DPN</t>
  </si>
  <si>
    <t xml:space="preserve">splácanie úrokov </t>
  </si>
  <si>
    <t xml:space="preserve">Transakcie verej.dlhu-splácanie úveru </t>
  </si>
  <si>
    <t>01.7.0.</t>
  </si>
  <si>
    <t>Finančná a rozpočtová oblasť</t>
  </si>
  <si>
    <t>01.8.</t>
  </si>
  <si>
    <t>Transfery spoloč.organizáciam</t>
  </si>
  <si>
    <t>01.1.2.</t>
  </si>
  <si>
    <t xml:space="preserve">Mzdy ,platy,sl.príjmy </t>
  </si>
  <si>
    <t>2.2.0.</t>
  </si>
  <si>
    <t>Civilná obrana</t>
  </si>
  <si>
    <t>Cestovné</t>
  </si>
  <si>
    <t>04.1.2.</t>
  </si>
  <si>
    <t>Všeob.-pracovná oblasť a aktiv.práce</t>
  </si>
  <si>
    <t>Mzdy,platy, sl. príjmy a OOV</t>
  </si>
  <si>
    <t>Poistne a príspevok do poisťovní</t>
  </si>
  <si>
    <t>O5.3.0</t>
  </si>
  <si>
    <t>Čistenie potokov</t>
  </si>
  <si>
    <t>05.6.0.</t>
  </si>
  <si>
    <t>Životné prostredie, orez stromov a iné</t>
  </si>
  <si>
    <t xml:space="preserve">Mzdy, platy </t>
  </si>
  <si>
    <t>06.2.</t>
  </si>
  <si>
    <t>Obnova parku,pamätníkov v obci</t>
  </si>
  <si>
    <t xml:space="preserve">Všeobecný materiál </t>
  </si>
  <si>
    <t>635, 637</t>
  </si>
  <si>
    <t>Oprava,služby+prvky drob.architektúry</t>
  </si>
  <si>
    <t>06.6.0 Bývanie a občianská vybavenosť,spol.st.úrad</t>
  </si>
  <si>
    <t>610,620,630</t>
  </si>
  <si>
    <t>Oprava a údržba, služby</t>
  </si>
  <si>
    <t xml:space="preserve"> Náklady na činosť spol.stav.úradu</t>
  </si>
  <si>
    <t>Energia,voda a komunikácie</t>
  </si>
  <si>
    <t>el.energia</t>
  </si>
  <si>
    <t>všeobecné služby</t>
  </si>
  <si>
    <t>Mzdy, platy</t>
  </si>
  <si>
    <t>poistenie a príspevok do poisťovní</t>
  </si>
  <si>
    <t xml:space="preserve"> DPN</t>
  </si>
  <si>
    <t>Rutinná a štandar. Údržba DS a cintorína</t>
  </si>
  <si>
    <t>DPN a transfery-čl.príspevky združeniam</t>
  </si>
  <si>
    <t>08.6.0.</t>
  </si>
  <si>
    <t>Ostatná kultúrna činnosť idne neklasifikovaná</t>
  </si>
  <si>
    <t>08.2.07.</t>
  </si>
  <si>
    <t>09.1.2.1. Základné vzdelánie s bežnou starostlivosťou</t>
  </si>
  <si>
    <t>Služby + nájom priečinka na pošte</t>
  </si>
  <si>
    <t>Náklady na ZŠ hradené priamo z obce-poistné</t>
  </si>
  <si>
    <t>09.5.0.1.</t>
  </si>
  <si>
    <t>Zariadenia pre záujmové vzdelávanie - školský klub</t>
  </si>
  <si>
    <t xml:space="preserve">Služby </t>
  </si>
  <si>
    <t>09.6.0.1</t>
  </si>
  <si>
    <t>Školská jedáleň pri MŠ</t>
  </si>
  <si>
    <t>O9.6.0.1. Školská jedáleň pri ZŠ</t>
  </si>
  <si>
    <t>Sociálne zabezpečenie</t>
  </si>
  <si>
    <t>BT jednotlivcom</t>
  </si>
  <si>
    <t>09.1.1 Predškolská výchova s bežnou starostlivosťou</t>
  </si>
  <si>
    <t>Múzeum družstevníctva</t>
  </si>
  <si>
    <t>Správa a údržba  ciest</t>
  </si>
  <si>
    <t>4.5.1.</t>
  </si>
  <si>
    <t>09.1.2.1</t>
  </si>
  <si>
    <t>Základná škola s bežnou starostlivosťou</t>
  </si>
  <si>
    <t>Splácanie tuzemskej istiny z bank.úverov</t>
  </si>
  <si>
    <t>Vlastné príjmy RO s právnou subjektivitou/ZŠ/</t>
  </si>
  <si>
    <t xml:space="preserve">04.5.1 Cestná doprava </t>
  </si>
  <si>
    <t xml:space="preserve">Údžba </t>
  </si>
  <si>
    <t>služby vývoz TKO,poplatok za uloženie</t>
  </si>
  <si>
    <t xml:space="preserve">05.4.0 Ochrana prírody a krajiny - 1RP </t>
  </si>
  <si>
    <t>DPNcestovne, strava v HN</t>
  </si>
  <si>
    <t>Energia,voda a komunikácie+cestovné</t>
  </si>
  <si>
    <t>632    631</t>
  </si>
  <si>
    <t>Služby, strava deti v HN</t>
  </si>
  <si>
    <t>Kultúrna pamiatka- habanský mlyn+kaplnka</t>
  </si>
  <si>
    <t>prenájom poštového priečinku</t>
  </si>
  <si>
    <t>6.3.2.</t>
  </si>
  <si>
    <t>Za odber vody občanmi</t>
  </si>
  <si>
    <t>08.2.O.6</t>
  </si>
  <si>
    <t>08.1.O</t>
  </si>
  <si>
    <t>Zariadenia pre šport,mimoškol.aktivity,CVČ</t>
  </si>
  <si>
    <t>637, 642</t>
  </si>
  <si>
    <t>nákup kníh+všeo.matriál</t>
  </si>
  <si>
    <t>Nakladanie s odpad.vodami-kanalizácia</t>
  </si>
  <si>
    <t>údržba</t>
  </si>
  <si>
    <t>632,610,620</t>
  </si>
  <si>
    <t>Energie. Mzdy a odvody</t>
  </si>
  <si>
    <t>Vše. Materiál</t>
  </si>
  <si>
    <t>08.2.O</t>
  </si>
  <si>
    <t>Kultúra+ kultúrne pamiatky</t>
  </si>
  <si>
    <t>05.02.</t>
  </si>
  <si>
    <t>Vodohospodárstvo+kanalizácia</t>
  </si>
  <si>
    <t>Služby - projek splas.kanalizácia</t>
  </si>
  <si>
    <t>Údržba vodozád. Opatrení</t>
  </si>
  <si>
    <t>08.20.</t>
  </si>
  <si>
    <t>637.635</t>
  </si>
  <si>
    <t>10.2.</t>
  </si>
  <si>
    <t>09.1.1 Školstvo - Materská škola</t>
  </si>
  <si>
    <t>Dopravné+Rutinná a štandartná údržba</t>
  </si>
  <si>
    <t>Projektová dokumentácia</t>
  </si>
  <si>
    <t>Rekonštrukcia MŠ prístavba</t>
  </si>
  <si>
    <t>Rekonštrukcia habanskeho mlynu</t>
  </si>
  <si>
    <t>DPN, odchodné</t>
  </si>
  <si>
    <t>Detské ihrisko II</t>
  </si>
  <si>
    <t>Skutočné plnenie rok 2018</t>
  </si>
  <si>
    <t>Služby+údržba VZ</t>
  </si>
  <si>
    <t>Služby+CVČ+TJ 100 r.</t>
  </si>
  <si>
    <t>Všobecný materiál-projekt Viac pohybu do parku</t>
  </si>
  <si>
    <t>Všeobecný materiál+potraviny ŠJ</t>
  </si>
  <si>
    <t>Údržba VP</t>
  </si>
  <si>
    <t>Kultúra - KD</t>
  </si>
  <si>
    <t>Rekonštrukcia kúrenia v KD</t>
  </si>
  <si>
    <t>03.02.</t>
  </si>
  <si>
    <t>PD - prístavba HZ</t>
  </si>
  <si>
    <t>Všeobecná prac.činnosť</t>
  </si>
  <si>
    <t>PD+ prístavba HZ</t>
  </si>
  <si>
    <t xml:space="preserve">Rekonštrukcia  </t>
  </si>
  <si>
    <t>Projektová dokmentácia</t>
  </si>
  <si>
    <t>Nákup prac. Stroja - mulčovač,kosačka</t>
  </si>
  <si>
    <t>Rekonštrukcia chodníkov v objekte ZŠ</t>
  </si>
  <si>
    <t>Športoviská - TJ (plot+ výstavba kabín)</t>
  </si>
  <si>
    <t>06.6</t>
  </si>
  <si>
    <t>716+717</t>
  </si>
  <si>
    <t>Bytové hospodárstvo</t>
  </si>
  <si>
    <t>Nákup prevádzk.strojov - stroj na parkety</t>
  </si>
  <si>
    <t>Rekonštrukcia strechy ŠJ ZŠ</t>
  </si>
  <si>
    <t>FZ+OIMO</t>
  </si>
  <si>
    <t>slatka úveru  ŠFRB</t>
  </si>
  <si>
    <r>
      <t xml:space="preserve">      </t>
    </r>
    <r>
      <rPr>
        <b/>
        <sz val="12"/>
        <rFont val="Arial"/>
        <family val="2"/>
      </rPr>
      <t xml:space="preserve"> ROZPOČET VÝDAVKOV NA ROKY 2020 - 2022</t>
    </r>
  </si>
  <si>
    <t>Skutočné plnenie rok 2019</t>
  </si>
  <si>
    <t>Rozpočet 2020</t>
  </si>
  <si>
    <t>Očakávaná skutočnosť rok 2020</t>
  </si>
  <si>
    <t>633.632</t>
  </si>
  <si>
    <t>635, 637,632</t>
  </si>
  <si>
    <t>632,637,635</t>
  </si>
  <si>
    <t>Energie , Materál, služby ,údržba</t>
  </si>
  <si>
    <t>mzdy, odvody,tovar, služby - projekt  HM</t>
  </si>
  <si>
    <t>Rekonš. Mosta u Janíkov. Chodník k MŠ, smer Senica</t>
  </si>
  <si>
    <t>PD -  hvezdáreň</t>
  </si>
  <si>
    <t>Vystavba kanalizácie I. etapa -3. časť</t>
  </si>
  <si>
    <t>Nákup  osobných automobilov</t>
  </si>
  <si>
    <t>Transfery do zahraničia a OZ MAS</t>
  </si>
  <si>
    <t>717+716</t>
  </si>
  <si>
    <t>Očakávaná skutočnosť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</si>
</sst>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0\ &quot;Sk&quot;;[Red]\-#,##0.00\ &quot;Sk&quot;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i/>
      <sz val="14"/>
      <name val="Arial"/>
      <family val="2"/>
    </font>
    <font>
      <i/>
      <sz val="12"/>
      <name val="Arial"/>
      <family val="2"/>
    </font>
    <font>
      <sz val="8"/>
      <color indexed="10"/>
      <name val="Arial"/>
      <family val="2"/>
    </font>
    <font>
      <b/>
      <i/>
      <sz val="7"/>
      <name val="Arial"/>
      <family val="2"/>
    </font>
    <font>
      <sz val="7"/>
      <name val="Arial"/>
      <family val="2"/>
      <charset val="238"/>
    </font>
    <font>
      <b/>
      <i/>
      <sz val="6"/>
      <name val="Arial"/>
      <family val="2"/>
      <charset val="238"/>
    </font>
    <font>
      <b/>
      <sz val="6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5"/>
      <name val="Arial"/>
      <family val="2"/>
      <charset val="238"/>
    </font>
    <font>
      <b/>
      <sz val="5"/>
      <name val="Arial"/>
      <family val="2"/>
    </font>
    <font>
      <b/>
      <sz val="5"/>
      <name val="Arial"/>
      <family val="2"/>
      <charset val="238"/>
    </font>
    <font>
      <b/>
      <sz val="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3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3" fillId="0" borderId="2" xfId="0" applyFont="1" applyFill="1" applyBorder="1"/>
    <xf numFmtId="3" fontId="3" fillId="0" borderId="3" xfId="0" applyNumberFormat="1" applyFont="1" applyFill="1" applyBorder="1"/>
    <xf numFmtId="3" fontId="3" fillId="0" borderId="4" xfId="0" applyNumberFormat="1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3" fontId="2" fillId="0" borderId="3" xfId="0" applyNumberFormat="1" applyFont="1" applyFill="1" applyBorder="1"/>
    <xf numFmtId="9" fontId="3" fillId="0" borderId="0" xfId="2" applyFont="1" applyFill="1" applyBorder="1"/>
    <xf numFmtId="3" fontId="3" fillId="0" borderId="5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/>
    <xf numFmtId="3" fontId="14" fillId="0" borderId="0" xfId="0" applyNumberFormat="1" applyFont="1" applyFill="1" applyBorder="1"/>
    <xf numFmtId="0" fontId="3" fillId="0" borderId="0" xfId="0" applyFont="1" applyFill="1"/>
    <xf numFmtId="0" fontId="3" fillId="0" borderId="7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wrapText="1"/>
    </xf>
    <xf numFmtId="14" fontId="3" fillId="0" borderId="7" xfId="0" applyNumberFormat="1" applyFont="1" applyFill="1" applyBorder="1"/>
    <xf numFmtId="3" fontId="3" fillId="0" borderId="8" xfId="0" applyNumberFormat="1" applyFont="1" applyFill="1" applyBorder="1" applyAlignment="1">
      <alignment horizontal="left"/>
    </xf>
    <xf numFmtId="3" fontId="3" fillId="0" borderId="10" xfId="0" applyNumberFormat="1" applyFont="1" applyFill="1" applyBorder="1"/>
    <xf numFmtId="14" fontId="3" fillId="0" borderId="11" xfId="0" applyNumberFormat="1" applyFont="1" applyFill="1" applyBorder="1"/>
    <xf numFmtId="3" fontId="3" fillId="0" borderId="12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wrapText="1"/>
    </xf>
    <xf numFmtId="14" fontId="3" fillId="0" borderId="14" xfId="0" applyNumberFormat="1" applyFont="1" applyFill="1" applyBorder="1"/>
    <xf numFmtId="3" fontId="3" fillId="0" borderId="15" xfId="0" applyNumberFormat="1" applyFont="1" applyFill="1" applyBorder="1" applyAlignment="1">
      <alignment horizontal="left"/>
    </xf>
    <xf numFmtId="0" fontId="3" fillId="0" borderId="15" xfId="0" applyFont="1" applyFill="1" applyBorder="1" applyAlignment="1">
      <alignment wrapText="1"/>
    </xf>
    <xf numFmtId="0" fontId="3" fillId="0" borderId="15" xfId="0" applyFont="1" applyFill="1" applyBorder="1"/>
    <xf numFmtId="9" fontId="3" fillId="0" borderId="15" xfId="2" applyFont="1" applyFill="1" applyBorder="1"/>
    <xf numFmtId="3" fontId="3" fillId="0" borderId="16" xfId="0" applyNumberFormat="1" applyFont="1" applyFill="1" applyBorder="1"/>
    <xf numFmtId="14" fontId="3" fillId="0" borderId="17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3" fontId="3" fillId="0" borderId="18" xfId="0" applyNumberFormat="1" applyFont="1" applyFill="1" applyBorder="1"/>
    <xf numFmtId="3" fontId="3" fillId="0" borderId="19" xfId="0" applyNumberFormat="1" applyFont="1" applyFill="1" applyBorder="1"/>
    <xf numFmtId="14" fontId="3" fillId="0" borderId="20" xfId="0" applyNumberFormat="1" applyFont="1" applyFill="1" applyBorder="1"/>
    <xf numFmtId="3" fontId="3" fillId="0" borderId="21" xfId="0" applyNumberFormat="1" applyFont="1" applyFill="1" applyBorder="1" applyAlignment="1">
      <alignment horizontal="left"/>
    </xf>
    <xf numFmtId="0" fontId="3" fillId="0" borderId="21" xfId="0" applyFont="1" applyFill="1" applyBorder="1" applyAlignment="1">
      <alignment wrapText="1"/>
    </xf>
    <xf numFmtId="2" fontId="3" fillId="0" borderId="7" xfId="0" applyNumberFormat="1" applyFont="1" applyFill="1" applyBorder="1"/>
    <xf numFmtId="2" fontId="3" fillId="0" borderId="20" xfId="0" applyNumberFormat="1" applyFont="1" applyFill="1" applyBorder="1"/>
    <xf numFmtId="0" fontId="13" fillId="0" borderId="21" xfId="0" applyFont="1" applyFill="1" applyBorder="1" applyAlignment="1">
      <alignment wrapText="1"/>
    </xf>
    <xf numFmtId="0" fontId="3" fillId="0" borderId="17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8" xfId="0" applyFont="1" applyFill="1" applyBorder="1"/>
    <xf numFmtId="0" fontId="3" fillId="0" borderId="22" xfId="0" applyFont="1" applyFill="1" applyBorder="1"/>
    <xf numFmtId="0" fontId="3" fillId="0" borderId="5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5" xfId="0" applyFont="1" applyFill="1" applyBorder="1"/>
    <xf numFmtId="0" fontId="3" fillId="0" borderId="23" xfId="0" applyFont="1" applyFill="1" applyBorder="1"/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wrapText="1"/>
    </xf>
    <xf numFmtId="3" fontId="2" fillId="0" borderId="10" xfId="0" applyNumberFormat="1" applyFont="1" applyFill="1" applyBorder="1"/>
    <xf numFmtId="3" fontId="2" fillId="0" borderId="23" xfId="0" applyNumberFormat="1" applyFont="1" applyFill="1" applyBorder="1"/>
    <xf numFmtId="3" fontId="3" fillId="0" borderId="0" xfId="0" applyNumberFormat="1" applyFont="1" applyFill="1"/>
    <xf numFmtId="3" fontId="2" fillId="0" borderId="5" xfId="0" applyNumberFormat="1" applyFont="1" applyFill="1" applyBorder="1"/>
    <xf numFmtId="14" fontId="3" fillId="0" borderId="22" xfId="0" applyNumberFormat="1" applyFont="1" applyFill="1" applyBorder="1"/>
    <xf numFmtId="3" fontId="3" fillId="0" borderId="23" xfId="0" applyNumberFormat="1" applyFont="1" applyFill="1" applyBorder="1"/>
    <xf numFmtId="1" fontId="3" fillId="0" borderId="0" xfId="0" applyNumberFormat="1" applyFont="1" applyFill="1"/>
    <xf numFmtId="3" fontId="3" fillId="0" borderId="5" xfId="0" applyNumberFormat="1" applyFont="1" applyFill="1" applyBorder="1"/>
    <xf numFmtId="3" fontId="6" fillId="0" borderId="5" xfId="0" applyNumberFormat="1" applyFont="1" applyFill="1" applyBorder="1" applyAlignment="1">
      <alignment horizontal="left"/>
    </xf>
    <xf numFmtId="0" fontId="6" fillId="0" borderId="24" xfId="0" applyFont="1" applyFill="1" applyBorder="1" applyAlignment="1">
      <alignment wrapText="1"/>
    </xf>
    <xf numFmtId="3" fontId="6" fillId="0" borderId="10" xfId="0" applyNumberFormat="1" applyFont="1" applyFill="1" applyBorder="1"/>
    <xf numFmtId="3" fontId="6" fillId="0" borderId="5" xfId="0" applyNumberFormat="1" applyFont="1" applyFill="1" applyBorder="1"/>
    <xf numFmtId="3" fontId="6" fillId="0" borderId="23" xfId="0" applyNumberFormat="1" applyFont="1" applyFill="1" applyBorder="1"/>
    <xf numFmtId="3" fontId="6" fillId="0" borderId="3" xfId="0" applyNumberFormat="1" applyFont="1" applyFill="1" applyBorder="1"/>
    <xf numFmtId="0" fontId="12" fillId="0" borderId="0" xfId="0" applyFont="1" applyFill="1"/>
    <xf numFmtId="9" fontId="3" fillId="0" borderId="5" xfId="0" applyNumberFormat="1" applyFont="1" applyFill="1" applyBorder="1"/>
    <xf numFmtId="10" fontId="3" fillId="0" borderId="5" xfId="0" applyNumberFormat="1" applyFont="1" applyFill="1" applyBorder="1"/>
    <xf numFmtId="0" fontId="6" fillId="0" borderId="22" xfId="0" applyFont="1" applyFill="1" applyBorder="1"/>
    <xf numFmtId="0" fontId="6" fillId="0" borderId="5" xfId="0" applyFont="1" applyFill="1" applyBorder="1"/>
    <xf numFmtId="0" fontId="6" fillId="0" borderId="0" xfId="0" applyFont="1" applyFill="1"/>
    <xf numFmtId="0" fontId="6" fillId="0" borderId="10" xfId="0" applyFont="1" applyFill="1" applyBorder="1"/>
    <xf numFmtId="0" fontId="6" fillId="0" borderId="3" xfId="0" applyFont="1" applyFill="1" applyBorder="1"/>
    <xf numFmtId="0" fontId="3" fillId="0" borderId="25" xfId="0" applyFont="1" applyFill="1" applyBorder="1" applyAlignment="1">
      <alignment wrapText="1"/>
    </xf>
    <xf numFmtId="9" fontId="3" fillId="0" borderId="5" xfId="2" applyFont="1" applyFill="1" applyBorder="1"/>
    <xf numFmtId="0" fontId="3" fillId="0" borderId="26" xfId="0" applyFont="1" applyFill="1" applyBorder="1"/>
    <xf numFmtId="9" fontId="6" fillId="0" borderId="5" xfId="2" applyFont="1" applyFill="1" applyBorder="1"/>
    <xf numFmtId="3" fontId="6" fillId="0" borderId="26" xfId="0" applyNumberFormat="1" applyFont="1" applyFill="1" applyBorder="1"/>
    <xf numFmtId="0" fontId="2" fillId="0" borderId="22" xfId="0" applyFont="1" applyFill="1" applyBorder="1"/>
    <xf numFmtId="0" fontId="6" fillId="0" borderId="22" xfId="0" applyNumberFormat="1" applyFont="1" applyFill="1" applyBorder="1"/>
    <xf numFmtId="10" fontId="3" fillId="0" borderId="0" xfId="2" applyNumberFormat="1" applyFont="1" applyFill="1"/>
    <xf numFmtId="0" fontId="3" fillId="0" borderId="24" xfId="0" applyFont="1" applyFill="1" applyBorder="1" applyAlignment="1">
      <alignment wrapText="1"/>
    </xf>
    <xf numFmtId="1" fontId="3" fillId="0" borderId="10" xfId="0" applyNumberFormat="1" applyFont="1" applyFill="1" applyBorder="1"/>
    <xf numFmtId="0" fontId="6" fillId="0" borderId="26" xfId="0" applyFont="1" applyFill="1" applyBorder="1"/>
    <xf numFmtId="3" fontId="2" fillId="0" borderId="5" xfId="0" applyNumberFormat="1" applyFont="1" applyFill="1" applyBorder="1" applyAlignment="1">
      <alignment horizontal="left"/>
    </xf>
    <xf numFmtId="4" fontId="3" fillId="0" borderId="5" xfId="0" applyNumberFormat="1" applyFont="1" applyFill="1" applyBorder="1"/>
    <xf numFmtId="3" fontId="3" fillId="0" borderId="27" xfId="0" applyNumberFormat="1" applyFont="1" applyFill="1" applyBorder="1"/>
    <xf numFmtId="3" fontId="3" fillId="0" borderId="28" xfId="0" applyNumberFormat="1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14" fontId="2" fillId="0" borderId="7" xfId="0" applyNumberFormat="1" applyFont="1" applyFill="1" applyBorder="1"/>
    <xf numFmtId="0" fontId="3" fillId="0" borderId="8" xfId="0" applyFont="1" applyFill="1" applyBorder="1" applyAlignment="1">
      <alignment wrapText="1"/>
    </xf>
    <xf numFmtId="3" fontId="5" fillId="0" borderId="10" xfId="0" applyNumberFormat="1" applyFont="1" applyFill="1" applyBorder="1"/>
    <xf numFmtId="3" fontId="5" fillId="0" borderId="23" xfId="0" applyNumberFormat="1" applyFont="1" applyFill="1" applyBorder="1"/>
    <xf numFmtId="3" fontId="7" fillId="0" borderId="10" xfId="0" applyNumberFormat="1" applyFont="1" applyFill="1" applyBorder="1"/>
    <xf numFmtId="3" fontId="5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wrapText="1"/>
    </xf>
    <xf numFmtId="9" fontId="3" fillId="0" borderId="0" xfId="2" applyFont="1" applyFill="1"/>
    <xf numFmtId="3" fontId="4" fillId="0" borderId="10" xfId="0" applyNumberFormat="1" applyFont="1" applyFill="1" applyBorder="1"/>
    <xf numFmtId="3" fontId="4" fillId="0" borderId="23" xfId="0" applyNumberFormat="1" applyFont="1" applyFill="1" applyBorder="1"/>
    <xf numFmtId="3" fontId="4" fillId="0" borderId="16" xfId="0" applyNumberFormat="1" applyFont="1" applyFill="1" applyBorder="1"/>
    <xf numFmtId="3" fontId="4" fillId="0" borderId="30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169" fontId="4" fillId="0" borderId="0" xfId="1" applyNumberFormat="1" applyFont="1" applyFill="1"/>
    <xf numFmtId="169" fontId="3" fillId="0" borderId="0" xfId="0" applyNumberFormat="1" applyFont="1" applyFill="1"/>
    <xf numFmtId="4" fontId="3" fillId="0" borderId="0" xfId="1" applyNumberFormat="1" applyFont="1" applyFill="1" applyAlignment="1">
      <alignment wrapText="1"/>
    </xf>
    <xf numFmtId="4" fontId="3" fillId="0" borderId="0" xfId="0" applyNumberFormat="1" applyFont="1" applyFill="1"/>
    <xf numFmtId="4" fontId="3" fillId="0" borderId="0" xfId="0" applyNumberFormat="1" applyFont="1" applyFill="1" applyAlignment="1">
      <alignment wrapText="1"/>
    </xf>
    <xf numFmtId="0" fontId="2" fillId="0" borderId="0" xfId="0" applyFont="1" applyFill="1"/>
    <xf numFmtId="0" fontId="2" fillId="0" borderId="31" xfId="0" applyFont="1" applyFill="1" applyBorder="1"/>
    <xf numFmtId="0" fontId="3" fillId="0" borderId="32" xfId="0" applyFont="1" applyFill="1" applyBorder="1"/>
    <xf numFmtId="0" fontId="3" fillId="0" borderId="33" xfId="0" applyFont="1" applyFill="1" applyBorder="1"/>
    <xf numFmtId="4" fontId="17" fillId="0" borderId="34" xfId="1" applyNumberFormat="1" applyFont="1" applyFill="1" applyBorder="1"/>
    <xf numFmtId="4" fontId="17" fillId="0" borderId="34" xfId="0" applyNumberFormat="1" applyFont="1" applyFill="1" applyBorder="1"/>
    <xf numFmtId="0" fontId="3" fillId="0" borderId="35" xfId="0" applyFont="1" applyFill="1" applyBorder="1"/>
    <xf numFmtId="4" fontId="17" fillId="0" borderId="36" xfId="0" applyNumberFormat="1" applyFont="1" applyFill="1" applyBorder="1"/>
    <xf numFmtId="0" fontId="14" fillId="0" borderId="0" xfId="0" applyFont="1" applyFill="1"/>
    <xf numFmtId="3" fontId="14" fillId="0" borderId="0" xfId="0" applyNumberFormat="1" applyFont="1" applyFill="1"/>
    <xf numFmtId="9" fontId="3" fillId="0" borderId="22" xfId="2" applyFont="1" applyFill="1" applyBorder="1"/>
    <xf numFmtId="3" fontId="6" fillId="0" borderId="22" xfId="0" applyNumberFormat="1" applyFont="1" applyFill="1" applyBorder="1"/>
    <xf numFmtId="0" fontId="6" fillId="0" borderId="23" xfId="0" applyFont="1" applyFill="1" applyBorder="1"/>
    <xf numFmtId="3" fontId="3" fillId="0" borderId="37" xfId="0" applyNumberFormat="1" applyFont="1" applyFill="1" applyBorder="1"/>
    <xf numFmtId="1" fontId="3" fillId="0" borderId="3" xfId="0" applyNumberFormat="1" applyFont="1" applyFill="1" applyBorder="1"/>
    <xf numFmtId="3" fontId="5" fillId="0" borderId="3" xfId="0" applyNumberFormat="1" applyFont="1" applyFill="1" applyBorder="1"/>
    <xf numFmtId="3" fontId="7" fillId="0" borderId="3" xfId="0" applyNumberFormat="1" applyFont="1" applyFill="1" applyBorder="1"/>
    <xf numFmtId="3" fontId="4" fillId="0" borderId="3" xfId="0" applyNumberFormat="1" applyFont="1" applyFill="1" applyBorder="1"/>
    <xf numFmtId="0" fontId="19" fillId="0" borderId="5" xfId="0" applyFont="1" applyFill="1" applyBorder="1" applyAlignment="1">
      <alignment wrapText="1"/>
    </xf>
    <xf numFmtId="0" fontId="18" fillId="0" borderId="3" xfId="0" applyFont="1" applyFill="1" applyBorder="1"/>
    <xf numFmtId="0" fontId="19" fillId="0" borderId="3" xfId="0" applyFont="1" applyFill="1" applyBorder="1"/>
    <xf numFmtId="3" fontId="19" fillId="0" borderId="3" xfId="0" applyNumberFormat="1" applyFont="1" applyFill="1" applyBorder="1"/>
    <xf numFmtId="3" fontId="21" fillId="0" borderId="3" xfId="0" applyNumberFormat="1" applyFont="1" applyFill="1" applyBorder="1"/>
    <xf numFmtId="0" fontId="21" fillId="0" borderId="3" xfId="0" applyFont="1" applyFill="1" applyBorder="1"/>
    <xf numFmtId="3" fontId="18" fillId="0" borderId="3" xfId="0" applyNumberFormat="1" applyFont="1" applyFill="1" applyBorder="1"/>
    <xf numFmtId="0" fontId="21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wrapText="1"/>
    </xf>
    <xf numFmtId="0" fontId="21" fillId="0" borderId="5" xfId="0" applyFont="1" applyFill="1" applyBorder="1" applyAlignment="1">
      <alignment horizontal="left"/>
    </xf>
    <xf numFmtId="3" fontId="21" fillId="0" borderId="5" xfId="0" applyNumberFormat="1" applyFont="1" applyFill="1" applyBorder="1" applyAlignment="1">
      <alignment horizontal="left"/>
    </xf>
    <xf numFmtId="0" fontId="20" fillId="0" borderId="22" xfId="0" applyFont="1" applyFill="1" applyBorder="1"/>
    <xf numFmtId="0" fontId="5" fillId="0" borderId="17" xfId="0" applyFont="1" applyFill="1" applyBorder="1"/>
    <xf numFmtId="3" fontId="14" fillId="0" borderId="6" xfId="0" applyNumberFormat="1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center" wrapText="1"/>
    </xf>
    <xf numFmtId="1" fontId="21" fillId="0" borderId="3" xfId="0" applyNumberFormat="1" applyFont="1" applyFill="1" applyBorder="1"/>
    <xf numFmtId="3" fontId="23" fillId="0" borderId="10" xfId="0" applyNumberFormat="1" applyFont="1" applyFill="1" applyBorder="1"/>
    <xf numFmtId="0" fontId="23" fillId="0" borderId="0" xfId="0" applyFont="1" applyFill="1" applyBorder="1"/>
    <xf numFmtId="9" fontId="23" fillId="0" borderId="0" xfId="2" applyFont="1" applyFill="1"/>
    <xf numFmtId="3" fontId="23" fillId="0" borderId="3" xfId="0" applyNumberFormat="1" applyFont="1" applyFill="1" applyBorder="1"/>
    <xf numFmtId="3" fontId="24" fillId="0" borderId="3" xfId="0" applyNumberFormat="1" applyFont="1" applyFill="1" applyBorder="1"/>
    <xf numFmtId="0" fontId="21" fillId="0" borderId="24" xfId="0" applyFont="1" applyFill="1" applyBorder="1" applyAlignment="1">
      <alignment wrapText="1"/>
    </xf>
    <xf numFmtId="0" fontId="21" fillId="0" borderId="8" xfId="0" applyFont="1" applyFill="1" applyBorder="1" applyAlignment="1">
      <alignment wrapText="1"/>
    </xf>
    <xf numFmtId="0" fontId="12" fillId="0" borderId="0" xfId="0" applyFont="1" applyFill="1" applyBorder="1"/>
    <xf numFmtId="0" fontId="2" fillId="2" borderId="38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9" fillId="3" borderId="42" xfId="0" applyNumberFormat="1" applyFont="1" applyFill="1" applyBorder="1"/>
    <xf numFmtId="0" fontId="2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/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wrapText="1"/>
    </xf>
    <xf numFmtId="0" fontId="3" fillId="2" borderId="47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4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wrapText="1"/>
    </xf>
    <xf numFmtId="0" fontId="3" fillId="2" borderId="0" xfId="0" applyFont="1" applyFill="1" applyBorder="1"/>
    <xf numFmtId="0" fontId="24" fillId="0" borderId="22" xfId="0" applyFont="1" applyFill="1" applyBorder="1"/>
    <xf numFmtId="0" fontId="24" fillId="0" borderId="5" xfId="0" applyFont="1" applyFill="1" applyBorder="1" applyAlignment="1">
      <alignment horizontal="left"/>
    </xf>
    <xf numFmtId="0" fontId="24" fillId="0" borderId="5" xfId="0" applyFont="1" applyFill="1" applyBorder="1" applyAlignment="1">
      <alignment wrapText="1"/>
    </xf>
    <xf numFmtId="0" fontId="24" fillId="0" borderId="52" xfId="0" applyFont="1" applyFill="1" applyBorder="1"/>
    <xf numFmtId="0" fontId="24" fillId="0" borderId="53" xfId="0" applyFont="1" applyFill="1" applyBorder="1" applyAlignment="1">
      <alignment horizontal="left"/>
    </xf>
    <xf numFmtId="0" fontId="24" fillId="0" borderId="53" xfId="0" applyFont="1" applyFill="1" applyBorder="1" applyAlignment="1">
      <alignment wrapText="1"/>
    </xf>
    <xf numFmtId="0" fontId="15" fillId="2" borderId="54" xfId="0" applyFont="1" applyFill="1" applyBorder="1"/>
    <xf numFmtId="0" fontId="16" fillId="2" borderId="55" xfId="0" applyFont="1" applyFill="1" applyBorder="1" applyAlignment="1">
      <alignment horizontal="left"/>
    </xf>
    <xf numFmtId="0" fontId="16" fillId="2" borderId="55" xfId="0" applyFont="1" applyFill="1" applyBorder="1" applyAlignment="1">
      <alignment wrapText="1"/>
    </xf>
    <xf numFmtId="3" fontId="16" fillId="2" borderId="56" xfId="0" applyNumberFormat="1" applyFont="1" applyFill="1" applyBorder="1"/>
    <xf numFmtId="9" fontId="3" fillId="2" borderId="0" xfId="2" applyFont="1" applyFill="1"/>
    <xf numFmtId="3" fontId="16" fillId="2" borderId="57" xfId="0" applyNumberFormat="1" applyFont="1" applyFill="1" applyBorder="1"/>
    <xf numFmtId="3" fontId="3" fillId="2" borderId="0" xfId="0" applyNumberFormat="1" applyFont="1" applyFill="1"/>
    <xf numFmtId="0" fontId="22" fillId="3" borderId="58" xfId="0" applyFont="1" applyFill="1" applyBorder="1" applyAlignment="1">
      <alignment horizontal="left"/>
    </xf>
    <xf numFmtId="0" fontId="22" fillId="3" borderId="58" xfId="0" applyFont="1" applyFill="1" applyBorder="1" applyAlignment="1">
      <alignment wrapText="1"/>
    </xf>
    <xf numFmtId="3" fontId="14" fillId="3" borderId="59" xfId="0" applyNumberFormat="1" applyFont="1" applyFill="1" applyBorder="1"/>
    <xf numFmtId="3" fontId="14" fillId="3" borderId="60" xfId="0" applyNumberFormat="1" applyFont="1" applyFill="1" applyBorder="1"/>
    <xf numFmtId="3" fontId="14" fillId="3" borderId="42" xfId="0" applyNumberFormat="1" applyFont="1" applyFill="1" applyBorder="1"/>
    <xf numFmtId="9" fontId="3" fillId="3" borderId="0" xfId="2" applyFont="1" applyFill="1"/>
    <xf numFmtId="0" fontId="3" fillId="3" borderId="0" xfId="0" applyFont="1" applyFill="1"/>
    <xf numFmtId="0" fontId="22" fillId="3" borderId="61" xfId="0" applyFont="1" applyFill="1" applyBorder="1"/>
    <xf numFmtId="0" fontId="22" fillId="3" borderId="22" xfId="0" applyFont="1" applyFill="1" applyBorder="1"/>
    <xf numFmtId="0" fontId="22" fillId="3" borderId="5" xfId="0" applyFont="1" applyFill="1" applyBorder="1" applyAlignment="1">
      <alignment horizontal="left"/>
    </xf>
    <xf numFmtId="0" fontId="22" fillId="3" borderId="5" xfId="0" applyFont="1" applyFill="1" applyBorder="1" applyAlignment="1">
      <alignment wrapText="1"/>
    </xf>
    <xf numFmtId="3" fontId="22" fillId="3" borderId="10" xfId="0" applyNumberFormat="1" applyFont="1" applyFill="1" applyBorder="1"/>
    <xf numFmtId="3" fontId="22" fillId="3" borderId="23" xfId="0" applyNumberFormat="1" applyFont="1" applyFill="1" applyBorder="1"/>
    <xf numFmtId="9" fontId="23" fillId="3" borderId="0" xfId="2" applyFont="1" applyFill="1"/>
    <xf numFmtId="3" fontId="22" fillId="3" borderId="3" xfId="0" applyNumberFormat="1" applyFont="1" applyFill="1" applyBorder="1"/>
    <xf numFmtId="3" fontId="2" fillId="4" borderId="59" xfId="0" applyNumberFormat="1" applyFont="1" applyFill="1" applyBorder="1"/>
    <xf numFmtId="3" fontId="2" fillId="4" borderId="60" xfId="0" applyNumberFormat="1" applyFont="1" applyFill="1" applyBorder="1"/>
    <xf numFmtId="9" fontId="3" fillId="4" borderId="1" xfId="2" applyFont="1" applyFill="1" applyBorder="1"/>
    <xf numFmtId="3" fontId="2" fillId="4" borderId="42" xfId="0" applyNumberFormat="1" applyFont="1" applyFill="1" applyBorder="1"/>
    <xf numFmtId="0" fontId="3" fillId="4" borderId="0" xfId="0" applyFont="1" applyFill="1"/>
    <xf numFmtId="0" fontId="2" fillId="4" borderId="62" xfId="0" applyFont="1" applyFill="1" applyBorder="1" applyAlignment="1">
      <alignment vertical="center"/>
    </xf>
    <xf numFmtId="0" fontId="2" fillId="4" borderId="63" xfId="0" applyFont="1" applyFill="1" applyBorder="1" applyAlignment="1">
      <alignment horizontal="left" vertical="center"/>
    </xf>
    <xf numFmtId="0" fontId="2" fillId="4" borderId="63" xfId="0" applyFont="1" applyFill="1" applyBorder="1" applyAlignment="1">
      <alignment vertical="center" wrapText="1"/>
    </xf>
    <xf numFmtId="0" fontId="3" fillId="4" borderId="0" xfId="0" applyFont="1" applyFill="1" applyBorder="1"/>
    <xf numFmtId="0" fontId="5" fillId="4" borderId="64" xfId="0" applyFont="1" applyFill="1" applyBorder="1"/>
    <xf numFmtId="0" fontId="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wrapText="1"/>
    </xf>
    <xf numFmtId="3" fontId="14" fillId="4" borderId="56" xfId="0" applyNumberFormat="1" applyFont="1" applyFill="1" applyBorder="1"/>
    <xf numFmtId="3" fontId="14" fillId="4" borderId="65" xfId="0" applyNumberFormat="1" applyFont="1" applyFill="1" applyBorder="1"/>
    <xf numFmtId="3" fontId="14" fillId="4" borderId="57" xfId="0" applyNumberFormat="1" applyFont="1" applyFill="1" applyBorder="1"/>
    <xf numFmtId="0" fontId="18" fillId="0" borderId="0" xfId="0" applyFont="1" applyFill="1"/>
    <xf numFmtId="3" fontId="18" fillId="0" borderId="0" xfId="0" applyNumberFormat="1" applyFont="1" applyFill="1"/>
    <xf numFmtId="0" fontId="6" fillId="5" borderId="22" xfId="0" applyFont="1" applyFill="1" applyBorder="1"/>
    <xf numFmtId="0" fontId="6" fillId="5" borderId="5" xfId="0" applyFont="1" applyFill="1" applyBorder="1" applyAlignment="1">
      <alignment horizontal="left"/>
    </xf>
    <xf numFmtId="0" fontId="6" fillId="5" borderId="5" xfId="0" applyFont="1" applyFill="1" applyBorder="1" applyAlignment="1">
      <alignment wrapText="1"/>
    </xf>
    <xf numFmtId="3" fontId="2" fillId="5" borderId="10" xfId="0" applyNumberFormat="1" applyFont="1" applyFill="1" applyBorder="1"/>
    <xf numFmtId="3" fontId="2" fillId="5" borderId="23" xfId="0" applyNumberFormat="1" applyFont="1" applyFill="1" applyBorder="1"/>
    <xf numFmtId="3" fontId="3" fillId="5" borderId="10" xfId="0" applyNumberFormat="1" applyFont="1" applyFill="1" applyBorder="1"/>
    <xf numFmtId="3" fontId="2" fillId="5" borderId="3" xfId="0" applyNumberFormat="1" applyFont="1" applyFill="1" applyBorder="1"/>
    <xf numFmtId="9" fontId="3" fillId="5" borderId="5" xfId="2" applyFont="1" applyFill="1" applyBorder="1"/>
    <xf numFmtId="3" fontId="18" fillId="5" borderId="3" xfId="0" applyNumberFormat="1" applyFont="1" applyFill="1" applyBorder="1"/>
    <xf numFmtId="0" fontId="3" fillId="5" borderId="0" xfId="0" applyFont="1" applyFill="1"/>
    <xf numFmtId="3" fontId="3" fillId="5" borderId="0" xfId="0" applyNumberFormat="1" applyFont="1" applyFill="1"/>
    <xf numFmtId="14" fontId="6" fillId="5" borderId="22" xfId="0" applyNumberFormat="1" applyFont="1" applyFill="1" applyBorder="1"/>
    <xf numFmtId="3" fontId="2" fillId="5" borderId="22" xfId="0" applyNumberFormat="1" applyFont="1" applyFill="1" applyBorder="1"/>
    <xf numFmtId="0" fontId="2" fillId="5" borderId="22" xfId="0" applyFont="1" applyFill="1" applyBorder="1"/>
    <xf numFmtId="0" fontId="2" fillId="5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wrapText="1"/>
    </xf>
    <xf numFmtId="3" fontId="19" fillId="5" borderId="3" xfId="0" applyNumberFormat="1" applyFont="1" applyFill="1" applyBorder="1"/>
    <xf numFmtId="0" fontId="2" fillId="5" borderId="22" xfId="0" applyNumberFormat="1" applyFont="1" applyFill="1" applyBorder="1"/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wrapText="1"/>
    </xf>
    <xf numFmtId="0" fontId="6" fillId="5" borderId="24" xfId="0" applyFont="1" applyFill="1" applyBorder="1" applyAlignment="1">
      <alignment wrapText="1"/>
    </xf>
    <xf numFmtId="3" fontId="3" fillId="5" borderId="5" xfId="0" applyNumberFormat="1" applyFont="1" applyFill="1" applyBorder="1" applyAlignment="1">
      <alignment horizontal="left"/>
    </xf>
    <xf numFmtId="14" fontId="2" fillId="5" borderId="22" xfId="0" applyNumberFormat="1" applyFont="1" applyFill="1" applyBorder="1"/>
    <xf numFmtId="3" fontId="3" fillId="5" borderId="23" xfId="0" applyNumberFormat="1" applyFont="1" applyFill="1" applyBorder="1"/>
    <xf numFmtId="4" fontId="3" fillId="5" borderId="5" xfId="0" applyNumberFormat="1" applyFont="1" applyFill="1" applyBorder="1"/>
    <xf numFmtId="0" fontId="2" fillId="5" borderId="10" xfId="0" applyFont="1" applyFill="1" applyBorder="1"/>
    <xf numFmtId="0" fontId="2" fillId="5" borderId="23" xfId="0" applyFont="1" applyFill="1" applyBorder="1"/>
    <xf numFmtId="0" fontId="2" fillId="5" borderId="3" xfId="0" applyFont="1" applyFill="1" applyBorder="1"/>
    <xf numFmtId="0" fontId="6" fillId="5" borderId="66" xfId="0" applyFont="1" applyFill="1" applyBorder="1"/>
    <xf numFmtId="0" fontId="3" fillId="5" borderId="67" xfId="0" applyFont="1" applyFill="1" applyBorder="1" applyAlignment="1">
      <alignment horizontal="left"/>
    </xf>
    <xf numFmtId="0" fontId="3" fillId="5" borderId="25" xfId="0" applyFont="1" applyFill="1" applyBorder="1" applyAlignment="1">
      <alignment wrapText="1"/>
    </xf>
    <xf numFmtId="0" fontId="2" fillId="5" borderId="25" xfId="0" applyFont="1" applyFill="1" applyBorder="1" applyAlignment="1">
      <alignment wrapText="1"/>
    </xf>
    <xf numFmtId="0" fontId="18" fillId="0" borderId="5" xfId="0" applyFont="1" applyFill="1" applyBorder="1" applyAlignment="1">
      <alignment horizontal="left"/>
    </xf>
    <xf numFmtId="0" fontId="21" fillId="0" borderId="0" xfId="0" applyFont="1" applyFill="1"/>
    <xf numFmtId="3" fontId="21" fillId="0" borderId="0" xfId="0" applyNumberFormat="1" applyFont="1" applyFill="1"/>
    <xf numFmtId="0" fontId="18" fillId="0" borderId="24" xfId="0" applyFont="1" applyFill="1" applyBorder="1" applyAlignment="1">
      <alignment wrapText="1"/>
    </xf>
    <xf numFmtId="3" fontId="18" fillId="0" borderId="10" xfId="0" applyNumberFormat="1" applyFont="1" applyFill="1" applyBorder="1"/>
    <xf numFmtId="0" fontId="18" fillId="0" borderId="5" xfId="0" applyFont="1" applyFill="1" applyBorder="1"/>
    <xf numFmtId="9" fontId="18" fillId="0" borderId="5" xfId="2" applyFont="1" applyFill="1" applyBorder="1"/>
    <xf numFmtId="3" fontId="18" fillId="0" borderId="5" xfId="0" applyNumberFormat="1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wrapText="1"/>
    </xf>
    <xf numFmtId="0" fontId="3" fillId="5" borderId="0" xfId="0" applyFont="1" applyFill="1" applyBorder="1"/>
    <xf numFmtId="0" fontId="3" fillId="5" borderId="3" xfId="0" applyFont="1" applyFill="1" applyBorder="1"/>
    <xf numFmtId="9" fontId="3" fillId="5" borderId="0" xfId="2" applyFont="1" applyFill="1" applyBorder="1"/>
    <xf numFmtId="3" fontId="3" fillId="5" borderId="3" xfId="0" applyNumberFormat="1" applyFont="1" applyFill="1" applyBorder="1"/>
    <xf numFmtId="49" fontId="6" fillId="0" borderId="22" xfId="0" applyNumberFormat="1" applyFont="1" applyFill="1" applyBorder="1"/>
    <xf numFmtId="0" fontId="12" fillId="0" borderId="5" xfId="0" applyFont="1" applyFill="1" applyBorder="1" applyAlignment="1">
      <alignment horizontal="left"/>
    </xf>
    <xf numFmtId="3" fontId="12" fillId="0" borderId="3" xfId="0" applyNumberFormat="1" applyFont="1" applyFill="1" applyBorder="1"/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/>
    <xf numFmtId="49" fontId="6" fillId="0" borderId="17" xfId="0" applyNumberFormat="1" applyFont="1" applyFill="1" applyBorder="1"/>
    <xf numFmtId="3" fontId="3" fillId="0" borderId="68" xfId="0" applyNumberFormat="1" applyFont="1" applyFill="1" applyBorder="1"/>
    <xf numFmtId="16" fontId="3" fillId="0" borderId="22" xfId="0" applyNumberFormat="1" applyFont="1" applyFill="1" applyBorder="1"/>
    <xf numFmtId="0" fontId="27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3" fontId="2" fillId="6" borderId="3" xfId="0" applyNumberFormat="1" applyFont="1" applyFill="1" applyBorder="1"/>
    <xf numFmtId="0" fontId="6" fillId="6" borderId="5" xfId="0" applyFont="1" applyFill="1" applyBorder="1" applyAlignment="1">
      <alignment wrapText="1"/>
    </xf>
    <xf numFmtId="1" fontId="6" fillId="0" borderId="10" xfId="0" applyNumberFormat="1" applyFont="1" applyFill="1" applyBorder="1"/>
    <xf numFmtId="3" fontId="6" fillId="6" borderId="3" xfId="0" applyNumberFormat="1" applyFont="1" applyFill="1" applyBorder="1"/>
    <xf numFmtId="3" fontId="6" fillId="0" borderId="0" xfId="0" applyNumberFormat="1" applyFont="1" applyFill="1"/>
    <xf numFmtId="3" fontId="18" fillId="6" borderId="3" xfId="0" applyNumberFormat="1" applyFont="1" applyFill="1" applyBorder="1"/>
    <xf numFmtId="14" fontId="6" fillId="6" borderId="22" xfId="0" applyNumberFormat="1" applyFont="1" applyFill="1" applyBorder="1"/>
    <xf numFmtId="0" fontId="2" fillId="6" borderId="22" xfId="0" applyFont="1" applyFill="1" applyBorder="1"/>
    <xf numFmtId="0" fontId="6" fillId="6" borderId="22" xfId="0" applyFont="1" applyFill="1" applyBorder="1"/>
    <xf numFmtId="3" fontId="2" fillId="5" borderId="5" xfId="0" applyNumberFormat="1" applyFont="1" applyFill="1" applyBorder="1"/>
    <xf numFmtId="0" fontId="2" fillId="0" borderId="5" xfId="0" applyFont="1" applyFill="1" applyBorder="1" applyAlignment="1">
      <alignment horizontal="left"/>
    </xf>
    <xf numFmtId="3" fontId="3" fillId="6" borderId="0" xfId="0" applyNumberFormat="1" applyFont="1" applyFill="1"/>
    <xf numFmtId="0" fontId="6" fillId="3" borderId="22" xfId="0" applyFont="1" applyFill="1" applyBorder="1"/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/>
    <xf numFmtId="3" fontId="6" fillId="3" borderId="10" xfId="0" applyNumberFormat="1" applyFont="1" applyFill="1" applyBorder="1"/>
    <xf numFmtId="0" fontId="6" fillId="3" borderId="5" xfId="0" applyFont="1" applyFill="1" applyBorder="1"/>
    <xf numFmtId="3" fontId="6" fillId="3" borderId="23" xfId="0" applyNumberFormat="1" applyFont="1" applyFill="1" applyBorder="1"/>
    <xf numFmtId="3" fontId="6" fillId="3" borderId="3" xfId="0" applyNumberFormat="1" applyFont="1" applyFill="1" applyBorder="1"/>
    <xf numFmtId="3" fontId="6" fillId="3" borderId="22" xfId="0" applyNumberFormat="1" applyFont="1" applyFill="1" applyBorder="1"/>
    <xf numFmtId="3" fontId="19" fillId="3" borderId="3" xfId="0" applyNumberFormat="1" applyFont="1" applyFill="1" applyBorder="1"/>
    <xf numFmtId="0" fontId="6" fillId="3" borderId="0" xfId="0" applyFont="1" applyFill="1"/>
    <xf numFmtId="3" fontId="3" fillId="3" borderId="0" xfId="0" applyNumberFormat="1" applyFont="1" applyFill="1"/>
    <xf numFmtId="3" fontId="2" fillId="3" borderId="3" xfId="0" applyNumberFormat="1" applyFont="1" applyFill="1" applyBorder="1"/>
    <xf numFmtId="0" fontId="12" fillId="3" borderId="22" xfId="0" applyFont="1" applyFill="1" applyBorder="1"/>
    <xf numFmtId="3" fontId="6" fillId="3" borderId="5" xfId="0" applyNumberFormat="1" applyFont="1" applyFill="1" applyBorder="1" applyAlignment="1">
      <alignment horizontal="left"/>
    </xf>
    <xf numFmtId="0" fontId="6" fillId="3" borderId="24" xfId="0" applyFont="1" applyFill="1" applyBorder="1" applyAlignment="1">
      <alignment wrapText="1"/>
    </xf>
    <xf numFmtId="3" fontId="6" fillId="3" borderId="5" xfId="0" applyNumberFormat="1" applyFont="1" applyFill="1" applyBorder="1"/>
    <xf numFmtId="3" fontId="12" fillId="3" borderId="0" xfId="0" applyNumberFormat="1" applyFont="1" applyFill="1"/>
    <xf numFmtId="14" fontId="6" fillId="3" borderId="22" xfId="0" applyNumberFormat="1" applyFont="1" applyFill="1" applyBorder="1"/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wrapText="1"/>
    </xf>
    <xf numFmtId="3" fontId="2" fillId="3" borderId="10" xfId="0" applyNumberFormat="1" applyFont="1" applyFill="1" applyBorder="1"/>
    <xf numFmtId="3" fontId="2" fillId="3" borderId="5" xfId="0" applyNumberFormat="1" applyFont="1" applyFill="1" applyBorder="1"/>
    <xf numFmtId="3" fontId="2" fillId="3" borderId="23" xfId="0" applyNumberFormat="1" applyFont="1" applyFill="1" applyBorder="1"/>
    <xf numFmtId="3" fontId="2" fillId="3" borderId="22" xfId="0" applyNumberFormat="1" applyFont="1" applyFill="1" applyBorder="1"/>
    <xf numFmtId="0" fontId="22" fillId="0" borderId="17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wrapText="1"/>
    </xf>
    <xf numFmtId="3" fontId="22" fillId="0" borderId="18" xfId="0" applyNumberFormat="1" applyFont="1" applyFill="1" applyBorder="1"/>
    <xf numFmtId="3" fontId="22" fillId="0" borderId="0" xfId="0" applyNumberFormat="1" applyFont="1" applyFill="1" applyBorder="1"/>
    <xf numFmtId="3" fontId="22" fillId="0" borderId="10" xfId="0" applyNumberFormat="1" applyFont="1" applyFill="1" applyBorder="1"/>
    <xf numFmtId="3" fontId="22" fillId="0" borderId="4" xfId="0" applyNumberFormat="1" applyFont="1" applyFill="1" applyBorder="1"/>
    <xf numFmtId="3" fontId="3" fillId="6" borderId="10" xfId="0" applyNumberFormat="1" applyFont="1" applyFill="1" applyBorder="1"/>
    <xf numFmtId="0" fontId="3" fillId="6" borderId="5" xfId="0" applyFont="1" applyFill="1" applyBorder="1"/>
    <xf numFmtId="1" fontId="3" fillId="6" borderId="10" xfId="0" applyNumberFormat="1" applyFont="1" applyFill="1" applyBorder="1"/>
    <xf numFmtId="0" fontId="3" fillId="6" borderId="26" xfId="0" applyFont="1" applyFill="1" applyBorder="1"/>
    <xf numFmtId="9" fontId="3" fillId="6" borderId="5" xfId="2" applyFont="1" applyFill="1" applyBorder="1"/>
    <xf numFmtId="3" fontId="3" fillId="6" borderId="3" xfId="0" applyNumberFormat="1" applyFont="1" applyFill="1" applyBorder="1"/>
    <xf numFmtId="0" fontId="3" fillId="6" borderId="0" xfId="0" applyFont="1" applyFill="1"/>
    <xf numFmtId="16" fontId="2" fillId="5" borderId="22" xfId="0" applyNumberFormat="1" applyFont="1" applyFill="1" applyBorder="1"/>
    <xf numFmtId="3" fontId="2" fillId="6" borderId="5" xfId="0" applyNumberFormat="1" applyFont="1" applyFill="1" applyBorder="1" applyAlignment="1">
      <alignment horizontal="left"/>
    </xf>
    <xf numFmtId="16" fontId="2" fillId="6" borderId="22" xfId="0" applyNumberFormat="1" applyFont="1" applyFill="1" applyBorder="1" applyAlignment="1">
      <alignment horizontal="left"/>
    </xf>
    <xf numFmtId="0" fontId="2" fillId="6" borderId="66" xfId="0" applyFont="1" applyFill="1" applyBorder="1"/>
    <xf numFmtId="0" fontId="3" fillId="6" borderId="10" xfId="0" applyFont="1" applyFill="1" applyBorder="1"/>
    <xf numFmtId="3" fontId="3" fillId="6" borderId="5" xfId="0" applyNumberFormat="1" applyFont="1" applyFill="1" applyBorder="1"/>
    <xf numFmtId="0" fontId="3" fillId="6" borderId="3" xfId="0" applyFont="1" applyFill="1" applyBorder="1"/>
    <xf numFmtId="0" fontId="21" fillId="6" borderId="3" xfId="0" applyFont="1" applyFill="1" applyBorder="1"/>
    <xf numFmtId="0" fontId="2" fillId="6" borderId="5" xfId="0" applyFont="1" applyFill="1" applyBorder="1" applyAlignment="1">
      <alignment wrapText="1"/>
    </xf>
    <xf numFmtId="0" fontId="2" fillId="0" borderId="1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7" xfId="0" applyFont="1" applyFill="1" applyBorder="1"/>
    <xf numFmtId="3" fontId="2" fillId="0" borderId="27" xfId="0" applyNumberFormat="1" applyFont="1" applyFill="1" applyBorder="1"/>
    <xf numFmtId="9" fontId="2" fillId="0" borderId="27" xfId="2" applyFont="1" applyFill="1" applyBorder="1"/>
    <xf numFmtId="9" fontId="2" fillId="0" borderId="0" xfId="2" applyFont="1" applyFill="1" applyBorder="1"/>
    <xf numFmtId="0" fontId="3" fillId="0" borderId="27" xfId="0" applyFont="1" applyFill="1" applyBorder="1" applyAlignment="1">
      <alignment horizontal="left"/>
    </xf>
    <xf numFmtId="0" fontId="3" fillId="0" borderId="27" xfId="0" applyFont="1" applyFill="1" applyBorder="1" applyAlignment="1">
      <alignment wrapText="1"/>
    </xf>
    <xf numFmtId="3" fontId="3" fillId="0" borderId="0" xfId="0" applyNumberFormat="1" applyFont="1" applyFill="1" applyBorder="1"/>
    <xf numFmtId="0" fontId="15" fillId="2" borderId="17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4" fillId="0" borderId="70" xfId="0" applyFont="1" applyFill="1" applyBorder="1"/>
    <xf numFmtId="0" fontId="2" fillId="0" borderId="71" xfId="0" applyFont="1" applyFill="1" applyBorder="1" applyAlignment="1">
      <alignment horizontal="left"/>
    </xf>
    <xf numFmtId="0" fontId="4" fillId="0" borderId="71" xfId="0" applyFont="1" applyFill="1" applyBorder="1" applyAlignment="1">
      <alignment wrapText="1"/>
    </xf>
    <xf numFmtId="3" fontId="4" fillId="0" borderId="71" xfId="0" applyNumberFormat="1" applyFont="1" applyFill="1" applyBorder="1"/>
    <xf numFmtId="0" fontId="3" fillId="0" borderId="71" xfId="0" applyFont="1" applyFill="1" applyBorder="1"/>
    <xf numFmtId="9" fontId="3" fillId="0" borderId="71" xfId="2" applyFont="1" applyFill="1" applyBorder="1"/>
    <xf numFmtId="3" fontId="2" fillId="0" borderId="71" xfId="0" applyNumberFormat="1" applyFont="1" applyFill="1" applyBorder="1"/>
    <xf numFmtId="3" fontId="2" fillId="0" borderId="72" xfId="0" applyNumberFormat="1" applyFont="1" applyFill="1" applyBorder="1"/>
    <xf numFmtId="0" fontId="2" fillId="0" borderId="27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5" xfId="0" applyFont="1" applyFill="1" applyBorder="1"/>
    <xf numFmtId="0" fontId="25" fillId="0" borderId="73" xfId="0" applyFont="1" applyFill="1" applyBorder="1" applyAlignment="1"/>
    <xf numFmtId="0" fontId="10" fillId="0" borderId="70" xfId="0" applyFont="1" applyFill="1" applyBorder="1"/>
    <xf numFmtId="0" fontId="11" fillId="0" borderId="74" xfId="0" applyFont="1" applyFill="1" applyBorder="1" applyAlignment="1">
      <alignment horizontal="left"/>
    </xf>
    <xf numFmtId="0" fontId="15" fillId="0" borderId="74" xfId="0" applyFont="1" applyFill="1" applyBorder="1" applyAlignment="1">
      <alignment horizontal="left"/>
    </xf>
    <xf numFmtId="0" fontId="26" fillId="0" borderId="74" xfId="0" applyFont="1" applyFill="1" applyBorder="1"/>
    <xf numFmtId="0" fontId="17" fillId="0" borderId="74" xfId="0" applyFont="1" applyFill="1" applyBorder="1"/>
    <xf numFmtId="0" fontId="12" fillId="0" borderId="75" xfId="0" applyFont="1" applyFill="1" applyBorder="1"/>
    <xf numFmtId="0" fontId="3" fillId="0" borderId="74" xfId="0" applyFont="1" applyFill="1" applyBorder="1"/>
    <xf numFmtId="0" fontId="3" fillId="0" borderId="76" xfId="0" applyFont="1" applyFill="1" applyBorder="1"/>
    <xf numFmtId="0" fontId="11" fillId="0" borderId="71" xfId="0" applyFont="1" applyFill="1" applyBorder="1" applyAlignment="1">
      <alignment horizontal="left"/>
    </xf>
    <xf numFmtId="0" fontId="10" fillId="0" borderId="71" xfId="0" applyFont="1" applyFill="1" applyBorder="1" applyAlignment="1">
      <alignment horizontal="left"/>
    </xf>
    <xf numFmtId="0" fontId="12" fillId="0" borderId="71" xfId="0" applyFont="1" applyFill="1" applyBorder="1"/>
    <xf numFmtId="0" fontId="12" fillId="0" borderId="77" xfId="0" applyFont="1" applyFill="1" applyBorder="1"/>
    <xf numFmtId="0" fontId="3" fillId="0" borderId="72" xfId="0" applyFont="1" applyFill="1" applyBorder="1"/>
    <xf numFmtId="0" fontId="2" fillId="0" borderId="78" xfId="0" applyFont="1" applyFill="1" applyBorder="1"/>
    <xf numFmtId="0" fontId="3" fillId="0" borderId="78" xfId="0" applyFont="1" applyFill="1" applyBorder="1" applyAlignment="1">
      <alignment horizontal="left"/>
    </xf>
    <xf numFmtId="0" fontId="3" fillId="0" borderId="78" xfId="0" applyFont="1" applyFill="1" applyBorder="1" applyAlignment="1">
      <alignment wrapText="1"/>
    </xf>
    <xf numFmtId="3" fontId="2" fillId="0" borderId="78" xfId="0" applyNumberFormat="1" applyFont="1" applyFill="1" applyBorder="1"/>
    <xf numFmtId="9" fontId="2" fillId="0" borderId="78" xfId="2" applyFont="1" applyFill="1" applyBorder="1"/>
    <xf numFmtId="3" fontId="3" fillId="0" borderId="78" xfId="0" applyNumberFormat="1" applyFont="1" applyFill="1" applyBorder="1"/>
    <xf numFmtId="0" fontId="2" fillId="2" borderId="79" xfId="0" applyFont="1" applyFill="1" applyBorder="1"/>
    <xf numFmtId="0" fontId="3" fillId="2" borderId="80" xfId="0" applyFont="1" applyFill="1" applyBorder="1" applyAlignment="1">
      <alignment horizontal="left"/>
    </xf>
    <xf numFmtId="0" fontId="2" fillId="2" borderId="80" xfId="0" applyFont="1" applyFill="1" applyBorder="1" applyAlignment="1">
      <alignment wrapText="1"/>
    </xf>
    <xf numFmtId="3" fontId="2" fillId="2" borderId="80" xfId="0" applyNumberFormat="1" applyFont="1" applyFill="1" applyBorder="1"/>
    <xf numFmtId="9" fontId="3" fillId="2" borderId="80" xfId="2" applyFont="1" applyFill="1" applyBorder="1"/>
    <xf numFmtId="3" fontId="2" fillId="2" borderId="80" xfId="0" applyNumberFormat="1" applyFont="1" applyFill="1" applyBorder="1" applyAlignment="1">
      <alignment horizontal="center"/>
    </xf>
    <xf numFmtId="0" fontId="3" fillId="2" borderId="80" xfId="0" applyFont="1" applyFill="1" applyBorder="1"/>
    <xf numFmtId="0" fontId="8" fillId="2" borderId="81" xfId="0" applyFont="1" applyFill="1" applyBorder="1" applyAlignment="1">
      <alignment horizontal="center" vertical="center" wrapText="1"/>
    </xf>
    <xf numFmtId="0" fontId="8" fillId="2" borderId="82" xfId="0" applyFont="1" applyFill="1" applyBorder="1" applyAlignment="1">
      <alignment horizontal="center" vertical="center" wrapText="1"/>
    </xf>
    <xf numFmtId="2" fontId="3" fillId="0" borderId="17" xfId="0" applyNumberFormat="1" applyFont="1" applyFill="1" applyBorder="1"/>
    <xf numFmtId="0" fontId="3" fillId="7" borderId="5" xfId="0" applyFont="1" applyFill="1" applyBorder="1" applyAlignment="1">
      <alignment wrapText="1"/>
    </xf>
    <xf numFmtId="3" fontId="3" fillId="7" borderId="10" xfId="0" applyNumberFormat="1" applyFont="1" applyFill="1" applyBorder="1"/>
    <xf numFmtId="0" fontId="3" fillId="7" borderId="5" xfId="0" applyFont="1" applyFill="1" applyBorder="1"/>
    <xf numFmtId="1" fontId="3" fillId="7" borderId="10" xfId="0" applyNumberFormat="1" applyFont="1" applyFill="1" applyBorder="1"/>
    <xf numFmtId="0" fontId="3" fillId="7" borderId="26" xfId="0" applyFont="1" applyFill="1" applyBorder="1"/>
    <xf numFmtId="9" fontId="3" fillId="7" borderId="5" xfId="2" applyFont="1" applyFill="1" applyBorder="1"/>
    <xf numFmtId="3" fontId="3" fillId="7" borderId="3" xfId="0" applyNumberFormat="1" applyFont="1" applyFill="1" applyBorder="1"/>
    <xf numFmtId="3" fontId="2" fillId="7" borderId="3" xfId="0" applyNumberFormat="1" applyFont="1" applyFill="1" applyBorder="1"/>
    <xf numFmtId="0" fontId="3" fillId="7" borderId="0" xfId="0" applyFont="1" applyFill="1"/>
    <xf numFmtId="3" fontId="3" fillId="7" borderId="0" xfId="0" applyNumberFormat="1" applyFont="1" applyFill="1"/>
    <xf numFmtId="16" fontId="2" fillId="7" borderId="22" xfId="0" applyNumberFormat="1" applyFont="1" applyFill="1" applyBorder="1" applyAlignment="1">
      <alignment horizontal="left"/>
    </xf>
    <xf numFmtId="3" fontId="3" fillId="7" borderId="5" xfId="0" applyNumberFormat="1" applyFont="1" applyFill="1" applyBorder="1" applyAlignment="1">
      <alignment horizontal="left"/>
    </xf>
    <xf numFmtId="16" fontId="3" fillId="7" borderId="22" xfId="0" applyNumberFormat="1" applyFont="1" applyFill="1" applyBorder="1"/>
    <xf numFmtId="0" fontId="6" fillId="7" borderId="66" xfId="0" applyFont="1" applyFill="1" applyBorder="1"/>
    <xf numFmtId="3" fontId="2" fillId="7" borderId="10" xfId="0" applyNumberFormat="1" applyFont="1" applyFill="1" applyBorder="1"/>
    <xf numFmtId="3" fontId="2" fillId="7" borderId="23" xfId="0" applyNumberFormat="1" applyFont="1" applyFill="1" applyBorder="1"/>
    <xf numFmtId="3" fontId="18" fillId="7" borderId="3" xfId="0" applyNumberFormat="1" applyFont="1" applyFill="1" applyBorder="1"/>
    <xf numFmtId="0" fontId="21" fillId="7" borderId="5" xfId="0" applyFont="1" applyFill="1" applyBorder="1" applyAlignment="1">
      <alignment horizontal="left"/>
    </xf>
    <xf numFmtId="0" fontId="21" fillId="7" borderId="5" xfId="0" applyFont="1" applyFill="1" applyBorder="1" applyAlignment="1">
      <alignment wrapText="1"/>
    </xf>
    <xf numFmtId="3" fontId="21" fillId="7" borderId="3" xfId="0" applyNumberFormat="1" applyFont="1" applyFill="1" applyBorder="1"/>
    <xf numFmtId="14" fontId="8" fillId="6" borderId="22" xfId="0" applyNumberFormat="1" applyFont="1" applyFill="1" applyBorder="1"/>
    <xf numFmtId="3" fontId="8" fillId="6" borderId="5" xfId="0" applyNumberFormat="1" applyFont="1" applyFill="1" applyBorder="1" applyAlignment="1">
      <alignment horizontal="left"/>
    </xf>
    <xf numFmtId="0" fontId="8" fillId="6" borderId="5" xfId="0" applyFont="1" applyFill="1" applyBorder="1" applyAlignment="1">
      <alignment wrapText="1"/>
    </xf>
    <xf numFmtId="3" fontId="21" fillId="6" borderId="5" xfId="0" applyNumberFormat="1" applyFont="1" applyFill="1" applyBorder="1"/>
    <xf numFmtId="0" fontId="21" fillId="6" borderId="5" xfId="0" applyFont="1" applyFill="1" applyBorder="1"/>
    <xf numFmtId="9" fontId="21" fillId="6" borderId="5" xfId="2" applyFont="1" applyFill="1" applyBorder="1"/>
    <xf numFmtId="3" fontId="21" fillId="6" borderId="3" xfId="0" applyNumberFormat="1" applyFont="1" applyFill="1" applyBorder="1"/>
    <xf numFmtId="3" fontId="8" fillId="6" borderId="3" xfId="0" applyNumberFormat="1" applyFont="1" applyFill="1" applyBorder="1"/>
    <xf numFmtId="0" fontId="21" fillId="6" borderId="0" xfId="0" applyFont="1" applyFill="1"/>
    <xf numFmtId="3" fontId="21" fillId="6" borderId="0" xfId="0" applyNumberFormat="1" applyFont="1" applyFill="1"/>
    <xf numFmtId="14" fontId="21" fillId="6" borderId="22" xfId="0" applyNumberFormat="1" applyFont="1" applyFill="1" applyBorder="1"/>
    <xf numFmtId="0" fontId="21" fillId="6" borderId="22" xfId="0" applyFont="1" applyFill="1" applyBorder="1"/>
    <xf numFmtId="0" fontId="8" fillId="6" borderId="5" xfId="0" applyFont="1" applyFill="1" applyBorder="1"/>
    <xf numFmtId="0" fontId="8" fillId="6" borderId="3" xfId="0" applyFont="1" applyFill="1" applyBorder="1"/>
    <xf numFmtId="0" fontId="3" fillId="6" borderId="5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19" fillId="6" borderId="3" xfId="0" applyFont="1" applyFill="1" applyBorder="1"/>
    <xf numFmtId="0" fontId="8" fillId="6" borderId="22" xfId="0" applyFont="1" applyFill="1" applyBorder="1"/>
    <xf numFmtId="3" fontId="6" fillId="6" borderId="10" xfId="0" applyNumberFormat="1" applyFont="1" applyFill="1" applyBorder="1"/>
    <xf numFmtId="0" fontId="6" fillId="6" borderId="5" xfId="0" applyFont="1" applyFill="1" applyBorder="1"/>
    <xf numFmtId="3" fontId="6" fillId="6" borderId="5" xfId="0" applyNumberFormat="1" applyFont="1" applyFill="1" applyBorder="1"/>
    <xf numFmtId="9" fontId="6" fillId="6" borderId="5" xfId="2" applyFont="1" applyFill="1" applyBorder="1"/>
    <xf numFmtId="3" fontId="12" fillId="6" borderId="3" xfId="0" applyNumberFormat="1" applyFont="1" applyFill="1" applyBorder="1"/>
    <xf numFmtId="16" fontId="2" fillId="0" borderId="22" xfId="0" applyNumberFormat="1" applyFont="1" applyFill="1" applyBorder="1"/>
    <xf numFmtId="3" fontId="8" fillId="0" borderId="5" xfId="0" applyNumberFormat="1" applyFont="1" applyFill="1" applyBorder="1" applyAlignment="1">
      <alignment horizontal="left"/>
    </xf>
    <xf numFmtId="3" fontId="20" fillId="0" borderId="10" xfId="0" applyNumberFormat="1" applyFont="1" applyFill="1" applyBorder="1"/>
    <xf numFmtId="0" fontId="20" fillId="0" borderId="5" xfId="0" applyFont="1" applyFill="1" applyBorder="1"/>
    <xf numFmtId="3" fontId="20" fillId="0" borderId="23" xfId="0" applyNumberFormat="1" applyFont="1" applyFill="1" applyBorder="1"/>
    <xf numFmtId="3" fontId="20" fillId="0" borderId="3" xfId="0" applyNumberFormat="1" applyFont="1" applyFill="1" applyBorder="1"/>
    <xf numFmtId="1" fontId="21" fillId="0" borderId="10" xfId="0" applyNumberFormat="1" applyFont="1" applyFill="1" applyBorder="1"/>
    <xf numFmtId="0" fontId="21" fillId="0" borderId="5" xfId="0" applyFont="1" applyFill="1" applyBorder="1"/>
    <xf numFmtId="9" fontId="21" fillId="0" borderId="5" xfId="2" applyFont="1" applyFill="1" applyBorder="1"/>
    <xf numFmtId="3" fontId="21" fillId="0" borderId="10" xfId="0" applyNumberFormat="1" applyFont="1" applyFill="1" applyBorder="1"/>
    <xf numFmtId="0" fontId="20" fillId="0" borderId="10" xfId="0" applyFont="1" applyFill="1" applyBorder="1"/>
    <xf numFmtId="3" fontId="20" fillId="0" borderId="5" xfId="0" applyNumberFormat="1" applyFont="1" applyFill="1" applyBorder="1"/>
    <xf numFmtId="3" fontId="20" fillId="0" borderId="26" xfId="0" applyNumberFormat="1" applyFont="1" applyFill="1" applyBorder="1"/>
    <xf numFmtId="0" fontId="20" fillId="0" borderId="5" xfId="0" applyFont="1" applyFill="1" applyBorder="1" applyAlignment="1">
      <alignment horizontal="left"/>
    </xf>
    <xf numFmtId="3" fontId="21" fillId="7" borderId="5" xfId="0" applyNumberFormat="1" applyFont="1" applyFill="1" applyBorder="1" applyAlignment="1">
      <alignment horizontal="left"/>
    </xf>
    <xf numFmtId="16" fontId="2" fillId="6" borderId="22" xfId="0" applyNumberFormat="1" applyFont="1" applyFill="1" applyBorder="1"/>
    <xf numFmtId="0" fontId="20" fillId="6" borderId="5" xfId="0" applyFont="1" applyFill="1" applyBorder="1" applyAlignment="1">
      <alignment wrapText="1"/>
    </xf>
    <xf numFmtId="1" fontId="6" fillId="6" borderId="10" xfId="0" applyNumberFormat="1" applyFont="1" applyFill="1" applyBorder="1"/>
    <xf numFmtId="0" fontId="6" fillId="6" borderId="26" xfId="0" applyFont="1" applyFill="1" applyBorder="1"/>
    <xf numFmtId="0" fontId="6" fillId="6" borderId="0" xfId="0" applyFont="1" applyFill="1"/>
    <xf numFmtId="3" fontId="6" fillId="6" borderId="0" xfId="0" applyNumberFormat="1" applyFont="1" applyFill="1"/>
    <xf numFmtId="3" fontId="19" fillId="6" borderId="3" xfId="0" applyNumberFormat="1" applyFont="1" applyFill="1" applyBorder="1"/>
    <xf numFmtId="0" fontId="20" fillId="0" borderId="3" xfId="0" applyFont="1" applyFill="1" applyBorder="1"/>
    <xf numFmtId="3" fontId="2" fillId="0" borderId="26" xfId="0" applyNumberFormat="1" applyFont="1" applyFill="1" applyBorder="1"/>
    <xf numFmtId="0" fontId="8" fillId="0" borderId="22" xfId="0" applyFont="1" applyFill="1" applyBorder="1"/>
    <xf numFmtId="3" fontId="8" fillId="6" borderId="10" xfId="0" applyNumberFormat="1" applyFont="1" applyFill="1" applyBorder="1"/>
    <xf numFmtId="0" fontId="8" fillId="6" borderId="26" xfId="0" applyFont="1" applyFill="1" applyBorder="1"/>
    <xf numFmtId="9" fontId="8" fillId="6" borderId="5" xfId="2" applyFont="1" applyFill="1" applyBorder="1"/>
    <xf numFmtId="0" fontId="8" fillId="6" borderId="0" xfId="0" applyFont="1" applyFill="1"/>
    <xf numFmtId="2" fontId="8" fillId="6" borderId="17" xfId="0" applyNumberFormat="1" applyFont="1" applyFill="1" applyBorder="1"/>
    <xf numFmtId="3" fontId="8" fillId="6" borderId="0" xfId="0" applyNumberFormat="1" applyFont="1" applyFill="1" applyBorder="1" applyAlignment="1">
      <alignment horizontal="left"/>
    </xf>
    <xf numFmtId="0" fontId="8" fillId="6" borderId="0" xfId="0" applyFont="1" applyFill="1" applyBorder="1" applyAlignment="1">
      <alignment wrapText="1"/>
    </xf>
    <xf numFmtId="0" fontId="8" fillId="6" borderId="0" xfId="0" applyFont="1" applyFill="1" applyBorder="1"/>
    <xf numFmtId="9" fontId="8" fillId="6" borderId="0" xfId="2" applyFont="1" applyFill="1" applyBorder="1"/>
    <xf numFmtId="3" fontId="2" fillId="7" borderId="16" xfId="0" applyNumberFormat="1" applyFont="1" applyFill="1" applyBorder="1"/>
    <xf numFmtId="3" fontId="2" fillId="7" borderId="0" xfId="0" applyNumberFormat="1" applyFont="1" applyFill="1" applyBorder="1"/>
    <xf numFmtId="9" fontId="3" fillId="7" borderId="0" xfId="2" applyFont="1" applyFill="1" applyBorder="1"/>
    <xf numFmtId="3" fontId="2" fillId="7" borderId="37" xfId="0" applyNumberFormat="1" applyFont="1" applyFill="1" applyBorder="1"/>
    <xf numFmtId="3" fontId="18" fillId="7" borderId="37" xfId="0" applyNumberFormat="1" applyFont="1" applyFill="1" applyBorder="1"/>
    <xf numFmtId="3" fontId="21" fillId="7" borderId="37" xfId="0" applyNumberFormat="1" applyFont="1" applyFill="1" applyBorder="1"/>
    <xf numFmtId="0" fontId="21" fillId="7" borderId="27" xfId="0" applyFont="1" applyFill="1" applyBorder="1" applyAlignment="1">
      <alignment wrapText="1"/>
    </xf>
    <xf numFmtId="0" fontId="6" fillId="7" borderId="83" xfId="0" applyFont="1" applyFill="1" applyBorder="1"/>
    <xf numFmtId="3" fontId="2" fillId="7" borderId="84" xfId="0" applyNumberFormat="1" applyFont="1" applyFill="1" applyBorder="1"/>
    <xf numFmtId="0" fontId="21" fillId="7" borderId="85" xfId="0" applyFont="1" applyFill="1" applyBorder="1" applyAlignment="1">
      <alignment wrapText="1"/>
    </xf>
    <xf numFmtId="0" fontId="21" fillId="7" borderId="86" xfId="0" applyFont="1" applyFill="1" applyBorder="1" applyAlignment="1">
      <alignment horizontal="left"/>
    </xf>
    <xf numFmtId="0" fontId="21" fillId="7" borderId="24" xfId="0" applyFont="1" applyFill="1" applyBorder="1" applyAlignment="1">
      <alignment wrapText="1"/>
    </xf>
    <xf numFmtId="0" fontId="6" fillId="7" borderId="57" xfId="0" applyFont="1" applyFill="1" applyBorder="1"/>
    <xf numFmtId="0" fontId="21" fillId="7" borderId="87" xfId="0" applyFont="1" applyFill="1" applyBorder="1" applyAlignment="1">
      <alignment horizontal="left"/>
    </xf>
    <xf numFmtId="0" fontId="6" fillId="7" borderId="88" xfId="0" applyFont="1" applyFill="1" applyBorder="1"/>
    <xf numFmtId="0" fontId="21" fillId="7" borderId="89" xfId="0" applyFont="1" applyFill="1" applyBorder="1" applyAlignment="1">
      <alignment horizontal="left"/>
    </xf>
    <xf numFmtId="0" fontId="21" fillId="7" borderId="84" xfId="0" applyFont="1" applyFill="1" applyBorder="1" applyAlignment="1">
      <alignment horizontal="left"/>
    </xf>
    <xf numFmtId="0" fontId="6" fillId="7" borderId="90" xfId="0" applyFont="1" applyFill="1" applyBorder="1"/>
    <xf numFmtId="0" fontId="6" fillId="7" borderId="91" xfId="0" applyFont="1" applyFill="1" applyBorder="1"/>
    <xf numFmtId="0" fontId="21" fillId="7" borderId="92" xfId="0" applyFont="1" applyFill="1" applyBorder="1" applyAlignment="1">
      <alignment wrapText="1"/>
    </xf>
    <xf numFmtId="14" fontId="8" fillId="6" borderId="83" xfId="0" applyNumberFormat="1" applyFont="1" applyFill="1" applyBorder="1"/>
    <xf numFmtId="0" fontId="8" fillId="6" borderId="84" xfId="0" applyFont="1" applyFill="1" applyBorder="1" applyAlignment="1">
      <alignment horizontal="left"/>
    </xf>
    <xf numFmtId="0" fontId="8" fillId="6" borderId="24" xfId="0" applyFont="1" applyFill="1" applyBorder="1" applyAlignment="1">
      <alignment wrapText="1"/>
    </xf>
    <xf numFmtId="3" fontId="8" fillId="6" borderId="16" xfId="0" applyNumberFormat="1" applyFont="1" applyFill="1" applyBorder="1"/>
    <xf numFmtId="3" fontId="8" fillId="6" borderId="0" xfId="0" applyNumberFormat="1" applyFont="1" applyFill="1" applyBorder="1"/>
    <xf numFmtId="3" fontId="8" fillId="6" borderId="37" xfId="0" applyNumberFormat="1" applyFont="1" applyFill="1" applyBorder="1"/>
    <xf numFmtId="3" fontId="8" fillId="6" borderId="0" xfId="0" applyNumberFormat="1" applyFont="1" applyFill="1"/>
    <xf numFmtId="0" fontId="8" fillId="6" borderId="27" xfId="0" applyFont="1" applyFill="1" applyBorder="1" applyAlignment="1">
      <alignment horizontal="left"/>
    </xf>
    <xf numFmtId="0" fontId="8" fillId="6" borderId="93" xfId="0" applyFont="1" applyFill="1" applyBorder="1" applyAlignment="1">
      <alignment horizontal="left"/>
    </xf>
    <xf numFmtId="0" fontId="8" fillId="6" borderId="83" xfId="0" applyFont="1" applyFill="1" applyBorder="1" applyAlignment="1">
      <alignment wrapText="1"/>
    </xf>
    <xf numFmtId="3" fontId="8" fillId="6" borderId="84" xfId="0" applyNumberFormat="1" applyFont="1" applyFill="1" applyBorder="1"/>
    <xf numFmtId="0" fontId="8" fillId="5" borderId="86" xfId="0" applyFont="1" applyFill="1" applyBorder="1" applyAlignment="1">
      <alignment horizontal="left"/>
    </xf>
    <xf numFmtId="0" fontId="8" fillId="5" borderId="85" xfId="0" applyFont="1" applyFill="1" applyBorder="1" applyAlignment="1">
      <alignment wrapText="1"/>
    </xf>
    <xf numFmtId="3" fontId="8" fillId="5" borderId="84" xfId="0" applyNumberFormat="1" applyFont="1" applyFill="1" applyBorder="1"/>
    <xf numFmtId="3" fontId="8" fillId="5" borderId="0" xfId="0" applyNumberFormat="1" applyFont="1" applyFill="1" applyBorder="1"/>
    <xf numFmtId="3" fontId="8" fillId="5" borderId="10" xfId="0" applyNumberFormat="1" applyFont="1" applyFill="1" applyBorder="1"/>
    <xf numFmtId="3" fontId="8" fillId="5" borderId="3" xfId="0" applyNumberFormat="1" applyFont="1" applyFill="1" applyBorder="1"/>
    <xf numFmtId="9" fontId="8" fillId="5" borderId="0" xfId="2" applyFont="1" applyFill="1" applyBorder="1"/>
    <xf numFmtId="3" fontId="8" fillId="5" borderId="37" xfId="0" applyNumberFormat="1" applyFont="1" applyFill="1" applyBorder="1"/>
    <xf numFmtId="0" fontId="8" fillId="5" borderId="0" xfId="0" applyFont="1" applyFill="1"/>
    <xf numFmtId="3" fontId="8" fillId="5" borderId="0" xfId="0" applyNumberFormat="1" applyFont="1" applyFill="1"/>
    <xf numFmtId="14" fontId="8" fillId="5" borderId="90" xfId="0" applyNumberFormat="1" applyFont="1" applyFill="1" applyBorder="1"/>
    <xf numFmtId="0" fontId="3" fillId="0" borderId="39" xfId="0" applyFont="1" applyFill="1" applyBorder="1" applyAlignment="1">
      <alignment horizontal="left" vertical="center"/>
    </xf>
    <xf numFmtId="0" fontId="3" fillId="0" borderId="94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3" fillId="0" borderId="44" xfId="0" applyFont="1" applyFill="1" applyBorder="1"/>
    <xf numFmtId="0" fontId="2" fillId="0" borderId="41" xfId="0" applyFont="1" applyFill="1" applyBorder="1" applyAlignment="1">
      <alignment horizontal="center" wrapText="1"/>
    </xf>
    <xf numFmtId="0" fontId="8" fillId="0" borderId="4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62" xfId="0" applyFont="1" applyFill="1" applyBorder="1"/>
    <xf numFmtId="0" fontId="3" fillId="0" borderId="63" xfId="0" applyFont="1" applyFill="1" applyBorder="1" applyAlignment="1">
      <alignment horizontal="left"/>
    </xf>
    <xf numFmtId="0" fontId="2" fillId="0" borderId="63" xfId="0" applyFont="1" applyFill="1" applyBorder="1" applyAlignment="1">
      <alignment wrapText="1"/>
    </xf>
    <xf numFmtId="3" fontId="2" fillId="0" borderId="59" xfId="0" applyNumberFormat="1" applyFont="1" applyFill="1" applyBorder="1"/>
    <xf numFmtId="3" fontId="2" fillId="0" borderId="60" xfId="0" applyNumberFormat="1" applyFont="1" applyFill="1" applyBorder="1"/>
    <xf numFmtId="9" fontId="3" fillId="0" borderId="1" xfId="2" applyFont="1" applyFill="1" applyBorder="1"/>
    <xf numFmtId="3" fontId="2" fillId="0" borderId="42" xfId="0" applyNumberFormat="1" applyFont="1" applyFill="1" applyBorder="1"/>
    <xf numFmtId="0" fontId="2" fillId="0" borderId="38" xfId="0" applyFont="1" applyFill="1" applyBorder="1" applyAlignment="1">
      <alignment vertical="center"/>
    </xf>
    <xf numFmtId="0" fontId="8" fillId="6" borderId="86" xfId="0" applyFont="1" applyFill="1" applyBorder="1" applyAlignment="1">
      <alignment horizontal="left"/>
    </xf>
    <xf numFmtId="0" fontId="8" fillId="6" borderId="85" xfId="0" applyFont="1" applyFill="1" applyBorder="1" applyAlignment="1">
      <alignment wrapText="1"/>
    </xf>
    <xf numFmtId="0" fontId="8" fillId="6" borderId="78" xfId="0" applyFont="1" applyFill="1" applyBorder="1"/>
    <xf numFmtId="3" fontId="19" fillId="6" borderId="10" xfId="0" applyNumberFormat="1" applyFont="1" applyFill="1" applyBorder="1"/>
    <xf numFmtId="0" fontId="19" fillId="6" borderId="5" xfId="0" applyFont="1" applyFill="1" applyBorder="1"/>
    <xf numFmtId="3" fontId="19" fillId="6" borderId="5" xfId="0" applyNumberFormat="1" applyFont="1" applyFill="1" applyBorder="1"/>
    <xf numFmtId="9" fontId="19" fillId="6" borderId="5" xfId="2" applyFont="1" applyFill="1" applyBorder="1"/>
    <xf numFmtId="0" fontId="8" fillId="6" borderId="90" xfId="0" applyFont="1" applyFill="1" applyBorder="1" applyAlignment="1">
      <alignment horizontal="left"/>
    </xf>
    <xf numFmtId="0" fontId="8" fillId="6" borderId="10" xfId="0" applyFont="1" applyFill="1" applyBorder="1"/>
    <xf numFmtId="0" fontId="29" fillId="7" borderId="24" xfId="0" applyFont="1" applyFill="1" applyBorder="1" applyAlignment="1">
      <alignment wrapText="1"/>
    </xf>
    <xf numFmtId="2" fontId="2" fillId="5" borderId="3" xfId="0" applyNumberFormat="1" applyFont="1" applyFill="1" applyBorder="1"/>
    <xf numFmtId="2" fontId="19" fillId="3" borderId="3" xfId="0" applyNumberFormat="1" applyFont="1" applyFill="1" applyBorder="1"/>
    <xf numFmtId="2" fontId="21" fillId="0" borderId="3" xfId="0" applyNumberFormat="1" applyFont="1" applyFill="1" applyBorder="1"/>
    <xf numFmtId="2" fontId="19" fillId="0" borderId="3" xfId="0" applyNumberFormat="1" applyFont="1" applyFill="1" applyBorder="1"/>
    <xf numFmtId="2" fontId="3" fillId="0" borderId="3" xfId="0" applyNumberFormat="1" applyFont="1" applyFill="1" applyBorder="1"/>
    <xf numFmtId="2" fontId="8" fillId="6" borderId="3" xfId="0" applyNumberFormat="1" applyFont="1" applyFill="1" applyBorder="1"/>
    <xf numFmtId="2" fontId="18" fillId="5" borderId="3" xfId="0" applyNumberFormat="1" applyFont="1" applyFill="1" applyBorder="1"/>
    <xf numFmtId="2" fontId="18" fillId="0" borderId="3" xfId="0" applyNumberFormat="1" applyFont="1" applyFill="1" applyBorder="1"/>
    <xf numFmtId="2" fontId="19" fillId="5" borderId="3" xfId="0" applyNumberFormat="1" applyFont="1" applyFill="1" applyBorder="1"/>
    <xf numFmtId="2" fontId="3" fillId="6" borderId="3" xfId="0" applyNumberFormat="1" applyFont="1" applyFill="1" applyBorder="1"/>
    <xf numFmtId="2" fontId="21" fillId="6" borderId="3" xfId="0" applyNumberFormat="1" applyFont="1" applyFill="1" applyBorder="1"/>
    <xf numFmtId="2" fontId="19" fillId="6" borderId="3" xfId="0" applyNumberFormat="1" applyFont="1" applyFill="1" applyBorder="1"/>
    <xf numFmtId="2" fontId="18" fillId="6" borderId="3" xfId="0" applyNumberFormat="1" applyFont="1" applyFill="1" applyBorder="1"/>
    <xf numFmtId="2" fontId="2" fillId="6" borderId="3" xfId="0" applyNumberFormat="1" applyFont="1" applyFill="1" applyBorder="1"/>
    <xf numFmtId="2" fontId="20" fillId="0" borderId="3" xfId="0" applyNumberFormat="1" applyFont="1" applyFill="1" applyBorder="1"/>
    <xf numFmtId="2" fontId="2" fillId="0" borderId="3" xfId="0" applyNumberFormat="1" applyFont="1" applyFill="1" applyBorder="1"/>
    <xf numFmtId="2" fontId="2" fillId="7" borderId="3" xfId="0" applyNumberFormat="1" applyFont="1" applyFill="1" applyBorder="1"/>
    <xf numFmtId="2" fontId="6" fillId="6" borderId="3" xfId="0" applyNumberFormat="1" applyFont="1" applyFill="1" applyBorder="1"/>
    <xf numFmtId="2" fontId="6" fillId="0" borderId="3" xfId="0" applyNumberFormat="1" applyFont="1" applyFill="1" applyBorder="1"/>
    <xf numFmtId="2" fontId="21" fillId="7" borderId="3" xfId="0" applyNumberFormat="1" applyFont="1" applyFill="1" applyBorder="1"/>
    <xf numFmtId="2" fontId="3" fillId="7" borderId="3" xfId="0" applyNumberFormat="1" applyFont="1" applyFill="1" applyBorder="1"/>
    <xf numFmtId="2" fontId="3" fillId="0" borderId="4" xfId="0" applyNumberFormat="1" applyFont="1" applyFill="1" applyBorder="1"/>
    <xf numFmtId="2" fontId="14" fillId="4" borderId="57" xfId="0" applyNumberFormat="1" applyFont="1" applyFill="1" applyBorder="1"/>
    <xf numFmtId="2" fontId="14" fillId="0" borderId="6" xfId="0" applyNumberFormat="1" applyFont="1" applyFill="1" applyBorder="1"/>
    <xf numFmtId="2" fontId="8" fillId="2" borderId="4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/>
    <xf numFmtId="2" fontId="3" fillId="5" borderId="3" xfId="0" applyNumberFormat="1" applyFont="1" applyFill="1" applyBorder="1"/>
    <xf numFmtId="2" fontId="8" fillId="6" borderId="37" xfId="0" applyNumberFormat="1" applyFont="1" applyFill="1" applyBorder="1"/>
    <xf numFmtId="2" fontId="21" fillId="7" borderId="37" xfId="0" applyNumberFormat="1" applyFont="1" applyFill="1" applyBorder="1"/>
    <xf numFmtId="2" fontId="8" fillId="5" borderId="37" xfId="0" applyNumberFormat="1" applyFont="1" applyFill="1" applyBorder="1"/>
    <xf numFmtId="2" fontId="2" fillId="4" borderId="42" xfId="0" applyNumberFormat="1" applyFont="1" applyFill="1" applyBorder="1"/>
    <xf numFmtId="2" fontId="3" fillId="0" borderId="6" xfId="0" applyNumberFormat="1" applyFont="1" applyFill="1" applyBorder="1"/>
    <xf numFmtId="2" fontId="8" fillId="0" borderId="41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/>
    <xf numFmtId="2" fontId="2" fillId="0" borderId="42" xfId="0" applyNumberFormat="1" applyFont="1" applyFill="1" applyBorder="1"/>
    <xf numFmtId="2" fontId="2" fillId="0" borderId="0" xfId="0" applyNumberFormat="1" applyFont="1" applyFill="1" applyBorder="1"/>
    <xf numFmtId="2" fontId="8" fillId="2" borderId="81" xfId="0" applyNumberFormat="1" applyFont="1" applyFill="1" applyBorder="1" applyAlignment="1">
      <alignment horizontal="center" vertical="center" wrapText="1"/>
    </xf>
    <xf numFmtId="2" fontId="3" fillId="0" borderId="78" xfId="0" applyNumberFormat="1" applyFont="1" applyFill="1" applyBorder="1"/>
    <xf numFmtId="2" fontId="3" fillId="0" borderId="27" xfId="0" applyNumberFormat="1" applyFont="1" applyFill="1" applyBorder="1"/>
    <xf numFmtId="2" fontId="2" fillId="0" borderId="27" xfId="0" applyNumberFormat="1" applyFont="1" applyFill="1" applyBorder="1"/>
    <xf numFmtId="2" fontId="3" fillId="0" borderId="0" xfId="0" applyNumberFormat="1" applyFont="1" applyFill="1" applyBorder="1"/>
    <xf numFmtId="2" fontId="2" fillId="0" borderId="71" xfId="0" applyNumberFormat="1" applyFont="1" applyFill="1" applyBorder="1"/>
    <xf numFmtId="2" fontId="4" fillId="0" borderId="71" xfId="0" applyNumberFormat="1" applyFont="1" applyFill="1" applyBorder="1"/>
    <xf numFmtId="2" fontId="8" fillId="2" borderId="2" xfId="0" applyNumberFormat="1" applyFont="1" applyFill="1" applyBorder="1" applyAlignment="1">
      <alignment horizontal="center" vertical="center" wrapText="1"/>
    </xf>
    <xf numFmtId="2" fontId="23" fillId="0" borderId="3" xfId="0" applyNumberFormat="1" applyFont="1" applyFill="1" applyBorder="1"/>
    <xf numFmtId="2" fontId="5" fillId="3" borderId="3" xfId="0" applyNumberFormat="1" applyFont="1" applyFill="1" applyBorder="1"/>
    <xf numFmtId="2" fontId="22" fillId="3" borderId="3" xfId="0" applyNumberFormat="1" applyFont="1" applyFill="1" applyBorder="1"/>
    <xf numFmtId="2" fontId="22" fillId="0" borderId="4" xfId="0" applyNumberFormat="1" applyFont="1" applyFill="1" applyBorder="1"/>
    <xf numFmtId="2" fontId="9" fillId="3" borderId="42" xfId="0" applyNumberFormat="1" applyFont="1" applyFill="1" applyBorder="1"/>
    <xf numFmtId="2" fontId="5" fillId="2" borderId="57" xfId="0" applyNumberFormat="1" applyFont="1" applyFill="1" applyBorder="1"/>
    <xf numFmtId="2" fontId="16" fillId="2" borderId="57" xfId="0" applyNumberFormat="1" applyFont="1" applyFill="1" applyBorder="1"/>
    <xf numFmtId="0" fontId="8" fillId="0" borderId="5" xfId="0" applyFont="1" applyFill="1" applyBorder="1" applyAlignment="1">
      <alignment wrapText="1"/>
    </xf>
    <xf numFmtId="2" fontId="8" fillId="0" borderId="3" xfId="0" applyNumberFormat="1" applyFont="1" applyFill="1" applyBorder="1"/>
    <xf numFmtId="0" fontId="29" fillId="0" borderId="5" xfId="0" applyFont="1" applyFill="1" applyBorder="1" applyAlignment="1">
      <alignment horizontal="left"/>
    </xf>
    <xf numFmtId="2" fontId="5" fillId="4" borderId="57" xfId="0" applyNumberFormat="1" applyFont="1" applyFill="1" applyBorder="1"/>
    <xf numFmtId="16" fontId="31" fillId="6" borderId="46" xfId="0" applyNumberFormat="1" applyFont="1" applyFill="1" applyBorder="1"/>
    <xf numFmtId="0" fontId="8" fillId="6" borderId="24" xfId="0" applyNumberFormat="1" applyFont="1" applyFill="1" applyBorder="1" applyAlignment="1">
      <alignment wrapText="1"/>
    </xf>
    <xf numFmtId="16" fontId="30" fillId="6" borderId="64" xfId="0" applyNumberFormat="1" applyFont="1" applyFill="1" applyBorder="1"/>
    <xf numFmtId="2" fontId="2" fillId="3" borderId="3" xfId="0" applyNumberFormat="1" applyFont="1" applyFill="1" applyBorder="1"/>
    <xf numFmtId="2" fontId="32" fillId="0" borderId="3" xfId="0" applyNumberFormat="1" applyFont="1" applyFill="1" applyBorder="1"/>
    <xf numFmtId="2" fontId="8" fillId="3" borderId="42" xfId="0" applyNumberFormat="1" applyFont="1" applyFill="1" applyBorder="1"/>
    <xf numFmtId="14" fontId="13" fillId="0" borderId="22" xfId="0" applyNumberFormat="1" applyFont="1" applyFill="1" applyBorder="1"/>
    <xf numFmtId="2" fontId="33" fillId="3" borderId="42" xfId="0" applyNumberFormat="1" applyFont="1" applyFill="1" applyBorder="1"/>
    <xf numFmtId="3" fontId="8" fillId="0" borderId="3" xfId="0" applyNumberFormat="1" applyFont="1" applyFill="1" applyBorder="1"/>
    <xf numFmtId="3" fontId="14" fillId="3" borderId="3" xfId="0" applyNumberFormat="1" applyFont="1" applyFill="1" applyBorder="1"/>
    <xf numFmtId="3" fontId="34" fillId="3" borderId="42" xfId="0" applyNumberFormat="1" applyFont="1" applyFill="1" applyBorder="1"/>
    <xf numFmtId="0" fontId="18" fillId="5" borderId="3" xfId="0" applyNumberFormat="1" applyFont="1" applyFill="1" applyBorder="1"/>
    <xf numFmtId="49" fontId="28" fillId="6" borderId="90" xfId="0" applyNumberFormat="1" applyFont="1" applyFill="1" applyBorder="1"/>
    <xf numFmtId="16" fontId="6" fillId="8" borderId="90" xfId="0" applyNumberFormat="1" applyFont="1" applyFill="1" applyBorder="1" applyAlignment="1">
      <alignment horizontal="left" indent="1"/>
    </xf>
    <xf numFmtId="0" fontId="21" fillId="8" borderId="86" xfId="0" applyFont="1" applyFill="1" applyBorder="1" applyAlignment="1">
      <alignment horizontal="left" indent="1"/>
    </xf>
    <xf numFmtId="0" fontId="21" fillId="8" borderId="85" xfId="0" applyFont="1" applyFill="1" applyBorder="1" applyAlignment="1">
      <alignment horizontal="left" wrapText="1" indent="1"/>
    </xf>
    <xf numFmtId="3" fontId="2" fillId="8" borderId="84" xfId="0" applyNumberFormat="1" applyFont="1" applyFill="1" applyBorder="1" applyAlignment="1">
      <alignment horizontal="left" indent="1"/>
    </xf>
    <xf numFmtId="3" fontId="2" fillId="8" borderId="0" xfId="0" applyNumberFormat="1" applyFont="1" applyFill="1" applyBorder="1" applyAlignment="1">
      <alignment horizontal="left" indent="1"/>
    </xf>
    <xf numFmtId="3" fontId="2" fillId="8" borderId="10" xfId="0" applyNumberFormat="1" applyFont="1" applyFill="1" applyBorder="1" applyAlignment="1">
      <alignment horizontal="left" indent="1"/>
    </xf>
    <xf numFmtId="3" fontId="2" fillId="8" borderId="3" xfId="0" applyNumberFormat="1" applyFont="1" applyFill="1" applyBorder="1" applyAlignment="1">
      <alignment horizontal="left" indent="1"/>
    </xf>
    <xf numFmtId="9" fontId="3" fillId="8" borderId="0" xfId="2" applyFont="1" applyFill="1" applyBorder="1" applyAlignment="1">
      <alignment horizontal="left" indent="1"/>
    </xf>
    <xf numFmtId="3" fontId="2" fillId="8" borderId="37" xfId="0" applyNumberFormat="1" applyFont="1" applyFill="1" applyBorder="1" applyAlignment="1">
      <alignment horizontal="left" indent="1"/>
    </xf>
    <xf numFmtId="3" fontId="18" fillId="8" borderId="37" xfId="0" applyNumberFormat="1" applyFont="1" applyFill="1" applyBorder="1" applyAlignment="1">
      <alignment horizontal="left" indent="1"/>
    </xf>
    <xf numFmtId="0" fontId="3" fillId="8" borderId="0" xfId="0" applyFont="1" applyFill="1" applyAlignment="1">
      <alignment horizontal="left" indent="1"/>
    </xf>
    <xf numFmtId="3" fontId="3" fillId="8" borderId="0" xfId="0" applyNumberFormat="1" applyFont="1" applyFill="1" applyAlignment="1">
      <alignment horizontal="left" indent="1"/>
    </xf>
    <xf numFmtId="2" fontId="21" fillId="8" borderId="37" xfId="0" applyNumberFormat="1" applyFont="1" applyFill="1" applyBorder="1" applyAlignment="1">
      <alignment horizontal="left" indent="1"/>
    </xf>
    <xf numFmtId="3" fontId="21" fillId="8" borderId="37" xfId="0" applyNumberFormat="1" applyFont="1" applyFill="1" applyBorder="1" applyAlignment="1">
      <alignment horizontal="left" indent="1"/>
    </xf>
    <xf numFmtId="2" fontId="2" fillId="4" borderId="57" xfId="0" applyNumberFormat="1" applyFont="1" applyFill="1" applyBorder="1"/>
    <xf numFmtId="16" fontId="8" fillId="6" borderId="90" xfId="0" applyNumberFormat="1" applyFont="1" applyFill="1" applyBorder="1"/>
    <xf numFmtId="2" fontId="21" fillId="8" borderId="37" xfId="0" applyNumberFormat="1" applyFont="1" applyFill="1" applyBorder="1" applyAlignment="1"/>
    <xf numFmtId="14" fontId="35" fillId="7" borderId="57" xfId="0" applyNumberFormat="1" applyFont="1" applyFill="1" applyBorder="1"/>
    <xf numFmtId="0" fontId="3" fillId="9" borderId="0" xfId="0" applyFont="1" applyFill="1" applyBorder="1"/>
    <xf numFmtId="3" fontId="3" fillId="9" borderId="10" xfId="0" applyNumberFormat="1" applyFont="1" applyFill="1" applyBorder="1"/>
    <xf numFmtId="0" fontId="3" fillId="9" borderId="3" xfId="0" applyFont="1" applyFill="1" applyBorder="1"/>
    <xf numFmtId="9" fontId="3" fillId="9" borderId="0" xfId="2" applyFont="1" applyFill="1" applyBorder="1"/>
    <xf numFmtId="0" fontId="3" fillId="9" borderId="0" xfId="0" applyFont="1" applyFill="1"/>
    <xf numFmtId="3" fontId="3" fillId="9" borderId="0" xfId="0" applyNumberFormat="1" applyFont="1" applyFill="1" applyBorder="1" applyAlignment="1">
      <alignment horizontal="left"/>
    </xf>
    <xf numFmtId="0" fontId="3" fillId="9" borderId="0" xfId="0" applyFont="1" applyFill="1" applyBorder="1" applyAlignment="1">
      <alignment wrapText="1"/>
    </xf>
    <xf numFmtId="3" fontId="3" fillId="9" borderId="3" xfId="0" applyNumberFormat="1" applyFont="1" applyFill="1" applyBorder="1"/>
    <xf numFmtId="2" fontId="3" fillId="9" borderId="3" xfId="0" applyNumberFormat="1" applyFont="1" applyFill="1" applyBorder="1"/>
    <xf numFmtId="16" fontId="3" fillId="9" borderId="17" xfId="0" applyNumberFormat="1" applyFont="1" applyFill="1" applyBorder="1" applyAlignment="1">
      <alignment horizontal="left"/>
    </xf>
    <xf numFmtId="17" fontId="8" fillId="6" borderId="64" xfId="0" applyNumberFormat="1" applyFont="1" applyFill="1" applyBorder="1" applyAlignment="1">
      <alignment horizontal="left"/>
    </xf>
    <xf numFmtId="0" fontId="35" fillId="7" borderId="86" xfId="0" applyFont="1" applyFill="1" applyBorder="1" applyAlignment="1">
      <alignment horizontal="left"/>
    </xf>
    <xf numFmtId="16" fontId="18" fillId="10" borderId="37" xfId="0" applyNumberFormat="1" applyFont="1" applyFill="1" applyBorder="1"/>
    <xf numFmtId="3" fontId="29" fillId="10" borderId="21" xfId="0" applyNumberFormat="1" applyFont="1" applyFill="1" applyBorder="1" applyAlignment="1">
      <alignment horizontal="left"/>
    </xf>
    <xf numFmtId="0" fontId="3" fillId="10" borderId="21" xfId="0" applyFont="1" applyFill="1" applyBorder="1" applyAlignment="1">
      <alignment wrapText="1"/>
    </xf>
    <xf numFmtId="3" fontId="3" fillId="10" borderId="16" xfId="0" applyNumberFormat="1" applyFont="1" applyFill="1" applyBorder="1"/>
    <xf numFmtId="0" fontId="3" fillId="10" borderId="0" xfId="0" applyFont="1" applyFill="1" applyBorder="1"/>
    <xf numFmtId="3" fontId="3" fillId="10" borderId="10" xfId="0" applyNumberFormat="1" applyFont="1" applyFill="1" applyBorder="1"/>
    <xf numFmtId="0" fontId="3" fillId="10" borderId="3" xfId="0" applyFont="1" applyFill="1" applyBorder="1"/>
    <xf numFmtId="9" fontId="3" fillId="10" borderId="0" xfId="2" applyFont="1" applyFill="1" applyBorder="1"/>
    <xf numFmtId="3" fontId="3" fillId="10" borderId="37" xfId="0" applyNumberFormat="1" applyFont="1" applyFill="1" applyBorder="1"/>
    <xf numFmtId="0" fontId="3" fillId="10" borderId="0" xfId="0" applyFont="1" applyFill="1"/>
    <xf numFmtId="2" fontId="21" fillId="10" borderId="37" xfId="0" applyNumberFormat="1" applyFont="1" applyFill="1" applyBorder="1"/>
    <xf numFmtId="3" fontId="21" fillId="10" borderId="37" xfId="0" applyNumberFormat="1" applyFont="1" applyFill="1" applyBorder="1"/>
    <xf numFmtId="3" fontId="21" fillId="0" borderId="27" xfId="0" applyNumberFormat="1" applyFont="1" applyFill="1" applyBorder="1"/>
    <xf numFmtId="3" fontId="32" fillId="0" borderId="3" xfId="0" applyNumberFormat="1" applyFont="1" applyFill="1" applyBorder="1"/>
    <xf numFmtId="3" fontId="1" fillId="0" borderId="3" xfId="0" applyNumberFormat="1" applyFont="1" applyFill="1" applyBorder="1"/>
    <xf numFmtId="3" fontId="5" fillId="3" borderId="3" xfId="0" applyNumberFormat="1" applyFont="1" applyFill="1" applyBorder="1"/>
    <xf numFmtId="3" fontId="33" fillId="3" borderId="42" xfId="0" applyNumberFormat="1" applyFont="1" applyFill="1" applyBorder="1"/>
    <xf numFmtId="2" fontId="24" fillId="0" borderId="3" xfId="0" applyNumberFormat="1" applyFont="1" applyFill="1" applyBorder="1"/>
    <xf numFmtId="2" fontId="4" fillId="0" borderId="3" xfId="0" applyNumberFormat="1" applyFont="1" applyFill="1" applyBorder="1"/>
    <xf numFmtId="14" fontId="36" fillId="0" borderId="78" xfId="0" applyNumberFormat="1" applyFont="1" applyFill="1" applyBorder="1"/>
    <xf numFmtId="3" fontId="35" fillId="0" borderId="5" xfId="0" applyNumberFormat="1" applyFont="1" applyFill="1" applyBorder="1" applyAlignment="1">
      <alignment horizontal="left"/>
    </xf>
    <xf numFmtId="3" fontId="37" fillId="0" borderId="5" xfId="0" applyNumberFormat="1" applyFont="1" applyFill="1" applyBorder="1" applyAlignment="1">
      <alignment horizontal="left"/>
    </xf>
    <xf numFmtId="2" fontId="38" fillId="4" borderId="57" xfId="0" applyNumberFormat="1" applyFont="1" applyFill="1" applyBorder="1"/>
    <xf numFmtId="0" fontId="35" fillId="7" borderId="24" xfId="0" applyFont="1" applyFill="1" applyBorder="1" applyAlignment="1">
      <alignment wrapText="1"/>
    </xf>
    <xf numFmtId="3" fontId="21" fillId="8" borderId="37" xfId="0" applyNumberFormat="1" applyFont="1" applyFill="1" applyBorder="1" applyAlignment="1">
      <alignment horizontal="right" indent="1"/>
    </xf>
    <xf numFmtId="3" fontId="3" fillId="11" borderId="21" xfId="0" applyNumberFormat="1" applyFont="1" applyFill="1" applyBorder="1" applyAlignment="1">
      <alignment horizontal="left"/>
    </xf>
    <xf numFmtId="0" fontId="3" fillId="11" borderId="21" xfId="0" applyFont="1" applyFill="1" applyBorder="1" applyAlignment="1">
      <alignment wrapText="1"/>
    </xf>
    <xf numFmtId="3" fontId="3" fillId="11" borderId="16" xfId="0" applyNumberFormat="1" applyFont="1" applyFill="1" applyBorder="1"/>
    <xf numFmtId="0" fontId="3" fillId="11" borderId="0" xfId="0" applyFont="1" applyFill="1" applyBorder="1"/>
    <xf numFmtId="0" fontId="3" fillId="11" borderId="37" xfId="0" applyFont="1" applyFill="1" applyBorder="1"/>
    <xf numFmtId="9" fontId="3" fillId="11" borderId="0" xfId="2" applyFont="1" applyFill="1" applyBorder="1"/>
    <xf numFmtId="3" fontId="3" fillId="11" borderId="37" xfId="0" applyNumberFormat="1" applyFont="1" applyFill="1" applyBorder="1"/>
    <xf numFmtId="0" fontId="3" fillId="11" borderId="0" xfId="0" applyFont="1" applyFill="1"/>
    <xf numFmtId="2" fontId="3" fillId="11" borderId="37" xfId="0" applyNumberFormat="1" applyFont="1" applyFill="1" applyBorder="1"/>
    <xf numFmtId="3" fontId="13" fillId="11" borderId="21" xfId="0" applyNumberFormat="1" applyFont="1" applyFill="1" applyBorder="1" applyAlignment="1">
      <alignment horizontal="left"/>
    </xf>
    <xf numFmtId="2" fontId="37" fillId="11" borderId="20" xfId="0" applyNumberFormat="1" applyFont="1" applyFill="1" applyBorder="1"/>
    <xf numFmtId="2" fontId="29" fillId="0" borderId="3" xfId="0" applyNumberFormat="1" applyFont="1" applyFill="1" applyBorder="1"/>
    <xf numFmtId="3" fontId="14" fillId="2" borderId="57" xfId="0" applyNumberFormat="1" applyFont="1" applyFill="1" applyBorder="1"/>
    <xf numFmtId="3" fontId="22" fillId="2" borderId="57" xfId="0" applyNumberFormat="1" applyFont="1" applyFill="1" applyBorder="1"/>
  </cellXfs>
  <cellStyles count="3">
    <cellStyle name="Čiarka" xfId="1" builtinId="3"/>
    <cellStyle name="Normálna" xfId="0" builtinId="0"/>
    <cellStyle name="Percentá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71"/>
  <sheetViews>
    <sheetView tabSelected="1" view="pageBreakPreview" topLeftCell="A466" zoomScaleNormal="100" zoomScaleSheetLayoutView="100" workbookViewId="0">
      <selection activeCell="P504" sqref="P504"/>
    </sheetView>
  </sheetViews>
  <sheetFormatPr defaultColWidth="9.109375" defaultRowHeight="10.199999999999999" outlineLevelRow="2" x14ac:dyDescent="0.2"/>
  <cols>
    <col min="1" max="1" width="6.5546875" style="14" customWidth="1"/>
    <col min="2" max="2" width="7.44140625" style="103" customWidth="1"/>
    <col min="3" max="3" width="28.5546875" style="104" customWidth="1"/>
    <col min="4" max="8" width="12.6640625" style="14" hidden="1" customWidth="1"/>
    <col min="9" max="9" width="20.6640625" style="14" hidden="1" customWidth="1"/>
    <col min="10" max="10" width="7.88671875" style="14" hidden="1" customWidth="1"/>
    <col min="11" max="12" width="9.109375" style="14" hidden="1" customWidth="1"/>
    <col min="13" max="13" width="9.33203125" style="14" customWidth="1"/>
    <col min="14" max="14" width="7.88671875" style="14" hidden="1" customWidth="1"/>
    <col min="15" max="16" width="9.5546875" style="14" customWidth="1"/>
    <col min="17" max="17" width="10.44140625" style="14" customWidth="1"/>
    <col min="18" max="20" width="9.5546875" style="14" customWidth="1"/>
    <col min="21" max="16384" width="9.109375" style="14"/>
  </cols>
  <sheetData>
    <row r="1" spans="1:20" ht="10.8" thickBot="1" x14ac:dyDescent="0.25">
      <c r="C1" s="3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ht="30" customHeight="1" x14ac:dyDescent="0.3">
      <c r="A2" s="371"/>
      <c r="B2" s="373"/>
      <c r="C2" s="374" t="s">
        <v>339</v>
      </c>
      <c r="D2" s="375"/>
      <c r="E2" s="376"/>
      <c r="F2" s="375"/>
      <c r="G2" s="376"/>
      <c r="H2" s="376"/>
      <c r="I2" s="375"/>
      <c r="J2" s="375"/>
      <c r="K2" s="376"/>
      <c r="L2" s="376"/>
      <c r="M2" s="375"/>
      <c r="N2" s="377"/>
      <c r="O2" s="378"/>
      <c r="P2" s="378"/>
      <c r="Q2" s="378"/>
      <c r="R2" s="378"/>
      <c r="S2" s="378"/>
      <c r="T2" s="379"/>
    </row>
    <row r="3" spans="1:20" ht="11.25" customHeight="1" thickBot="1" x14ac:dyDescent="0.35">
      <c r="A3" s="372"/>
      <c r="B3" s="380"/>
      <c r="C3" s="381"/>
      <c r="D3" s="382"/>
      <c r="E3" s="364"/>
      <c r="F3" s="382"/>
      <c r="G3" s="364"/>
      <c r="H3" s="364"/>
      <c r="I3" s="382"/>
      <c r="J3" s="382"/>
      <c r="K3" s="364"/>
      <c r="L3" s="364"/>
      <c r="M3" s="382"/>
      <c r="N3" s="383"/>
      <c r="O3" s="364"/>
      <c r="P3" s="364"/>
      <c r="Q3" s="364"/>
      <c r="R3" s="364"/>
      <c r="S3" s="364"/>
      <c r="T3" s="384"/>
    </row>
    <row r="4" spans="1:20" ht="12" customHeight="1" thickBot="1" x14ac:dyDescent="0.25">
      <c r="A4" s="153"/>
      <c r="B4" s="142"/>
      <c r="C4" s="143"/>
      <c r="D4" s="144"/>
      <c r="E4" s="1"/>
      <c r="F4" s="144"/>
      <c r="G4" s="1"/>
      <c r="H4" s="1"/>
      <c r="I4" s="144"/>
      <c r="J4" s="144"/>
      <c r="K4" s="1"/>
      <c r="L4" s="1"/>
      <c r="M4" s="144"/>
      <c r="N4" s="144"/>
    </row>
    <row r="5" spans="1:20" ht="20.25" hidden="1" customHeight="1" thickTop="1" x14ac:dyDescent="0.2">
      <c r="A5" s="41"/>
      <c r="B5" s="42"/>
      <c r="C5" s="32"/>
      <c r="D5" s="2"/>
      <c r="E5" s="2" t="s">
        <v>37</v>
      </c>
      <c r="F5" s="2"/>
      <c r="G5" s="2"/>
      <c r="H5" s="2"/>
      <c r="I5" s="7"/>
      <c r="J5" s="12"/>
      <c r="M5" s="12"/>
      <c r="N5" s="12"/>
    </row>
    <row r="6" spans="1:20" ht="23.25" hidden="1" customHeight="1" thickTop="1" thickBot="1" x14ac:dyDescent="0.25">
      <c r="A6" s="2"/>
      <c r="B6" s="42"/>
      <c r="C6" s="32"/>
      <c r="D6" s="2"/>
      <c r="E6" s="2"/>
      <c r="F6" s="2"/>
      <c r="G6" s="2"/>
      <c r="H6" s="2"/>
      <c r="I6" s="2"/>
      <c r="J6" s="2"/>
      <c r="M6" s="2"/>
      <c r="N6" s="2"/>
    </row>
    <row r="7" spans="1:20" ht="0.75" hidden="1" customHeight="1" thickBot="1" x14ac:dyDescent="0.25">
      <c r="A7" s="41"/>
      <c r="B7" s="42"/>
      <c r="C7" s="32"/>
      <c r="D7" s="43"/>
      <c r="E7" s="2"/>
      <c r="F7" s="43"/>
      <c r="G7" s="2"/>
      <c r="H7" s="2"/>
      <c r="I7" s="7"/>
      <c r="J7" s="43"/>
      <c r="M7" s="43"/>
      <c r="N7" s="43"/>
    </row>
    <row r="8" spans="1:20" ht="39" customHeight="1" thickTop="1" x14ac:dyDescent="0.2">
      <c r="A8" s="154" t="s">
        <v>71</v>
      </c>
      <c r="B8" s="155"/>
      <c r="C8" s="156"/>
      <c r="D8" s="160" t="s">
        <v>41</v>
      </c>
      <c r="E8" s="161"/>
      <c r="F8" s="162" t="s">
        <v>42</v>
      </c>
      <c r="G8" s="163" t="s">
        <v>40</v>
      </c>
      <c r="H8" s="164"/>
      <c r="I8" s="157" t="s">
        <v>79</v>
      </c>
      <c r="J8" s="165" t="s">
        <v>195</v>
      </c>
      <c r="K8" s="166"/>
      <c r="L8" s="166"/>
      <c r="M8" s="167" t="s">
        <v>315</v>
      </c>
      <c r="N8" s="167">
        <v>2009</v>
      </c>
      <c r="O8" s="167" t="s">
        <v>340</v>
      </c>
      <c r="P8" s="167" t="s">
        <v>341</v>
      </c>
      <c r="Q8" s="167" t="s">
        <v>342</v>
      </c>
      <c r="R8" s="167">
        <v>2021</v>
      </c>
      <c r="S8" s="167">
        <v>2022</v>
      </c>
      <c r="T8" s="167">
        <v>2023</v>
      </c>
    </row>
    <row r="9" spans="1:20" ht="12" customHeight="1" x14ac:dyDescent="0.2">
      <c r="A9" s="44"/>
      <c r="B9" s="45"/>
      <c r="C9" s="11"/>
      <c r="D9" s="46" t="s">
        <v>0</v>
      </c>
      <c r="E9" s="47"/>
      <c r="F9" s="48" t="s">
        <v>0</v>
      </c>
      <c r="G9" s="6" t="s">
        <v>0</v>
      </c>
      <c r="H9" s="44"/>
      <c r="I9" s="6" t="s">
        <v>0</v>
      </c>
      <c r="J9" s="346" t="s">
        <v>185</v>
      </c>
      <c r="K9" s="347"/>
      <c r="L9" s="347"/>
      <c r="M9" s="346" t="s">
        <v>200</v>
      </c>
      <c r="N9" s="346" t="s">
        <v>81</v>
      </c>
      <c r="O9" s="346" t="s">
        <v>201</v>
      </c>
      <c r="P9" s="346" t="s">
        <v>200</v>
      </c>
      <c r="Q9" s="346" t="s">
        <v>200</v>
      </c>
      <c r="R9" s="346" t="s">
        <v>200</v>
      </c>
      <c r="S9" s="346" t="s">
        <v>200</v>
      </c>
      <c r="T9" s="346" t="s">
        <v>200</v>
      </c>
    </row>
    <row r="10" spans="1:20" ht="12" customHeight="1" x14ac:dyDescent="0.2">
      <c r="A10" s="282" t="s">
        <v>2</v>
      </c>
      <c r="B10" s="220"/>
      <c r="C10" s="221"/>
      <c r="D10" s="222">
        <f>SUM(D12:D61)</f>
        <v>5854</v>
      </c>
      <c r="E10" s="223">
        <f>SUM(E12:E61)</f>
        <v>3.3494999999999999</v>
      </c>
      <c r="F10" s="223">
        <f>SUM(F12:F61)</f>
        <v>5854</v>
      </c>
      <c r="G10" s="225" t="e">
        <f>+G11+G15+G26</f>
        <v>#REF!</v>
      </c>
      <c r="H10" s="231" t="e">
        <f>+H11+H15+H26</f>
        <v>#DIV/0!</v>
      </c>
      <c r="I10" s="225" t="e">
        <f>+I11+I15+I26</f>
        <v>#REF!</v>
      </c>
      <c r="J10" s="225" t="e">
        <f>J11+J15+J26+J64+J67+J65</f>
        <v>#REF!</v>
      </c>
      <c r="K10" s="228"/>
      <c r="L10" s="229"/>
      <c r="M10" s="545">
        <f>M11+M15+M26+M63+M62</f>
        <v>144884.11000000002</v>
      </c>
      <c r="N10" s="545" t="e">
        <f>N11+N15+N26+N64+N67+N65</f>
        <v>#REF!</v>
      </c>
      <c r="O10" s="545">
        <f>O11+O15+O26+O63+O62</f>
        <v>205049.21</v>
      </c>
      <c r="P10" s="225">
        <f>P11+P15+P26+P63+P62</f>
        <v>209840</v>
      </c>
      <c r="Q10" s="225">
        <f>Q11+Q15+Q26+Q62+Q63</f>
        <v>198545</v>
      </c>
      <c r="R10" s="225">
        <f>R11+R15+R26+R62+R63</f>
        <v>215840</v>
      </c>
      <c r="S10" s="225">
        <f>S11+S15+S26+S62+S63</f>
        <v>216040</v>
      </c>
      <c r="T10" s="225">
        <f>T11+T15+T26+T63+T62</f>
        <v>216140</v>
      </c>
    </row>
    <row r="11" spans="1:20" ht="12" customHeight="1" x14ac:dyDescent="0.2">
      <c r="A11" s="305"/>
      <c r="B11" s="306">
        <v>610</v>
      </c>
      <c r="C11" s="307" t="s">
        <v>80</v>
      </c>
      <c r="D11" s="308"/>
      <c r="E11" s="309"/>
      <c r="F11" s="310"/>
      <c r="G11" s="299">
        <f>SUM(G12:G14)</f>
        <v>2577</v>
      </c>
      <c r="H11" s="311">
        <f>SUM(H12:H14)</f>
        <v>1.3584645084645084</v>
      </c>
      <c r="I11" s="299">
        <f>SUM(I12:I14)</f>
        <v>3688</v>
      </c>
      <c r="J11" s="296">
        <f>J12+J13+J14</f>
        <v>2250</v>
      </c>
      <c r="K11" s="193"/>
      <c r="L11" s="298"/>
      <c r="M11" s="546">
        <v>64977.03</v>
      </c>
      <c r="N11" s="546">
        <f>N12+N13+N14</f>
        <v>2500</v>
      </c>
      <c r="O11" s="546">
        <v>111631.11</v>
      </c>
      <c r="P11" s="296">
        <v>120000</v>
      </c>
      <c r="Q11" s="296">
        <v>110000</v>
      </c>
      <c r="R11" s="296">
        <v>120000</v>
      </c>
      <c r="S11" s="296">
        <v>120000</v>
      </c>
      <c r="T11" s="296">
        <v>120000</v>
      </c>
    </row>
    <row r="12" spans="1:20" ht="12" hidden="1" customHeight="1" outlineLevel="2" x14ac:dyDescent="0.2">
      <c r="A12" s="55"/>
      <c r="B12" s="45">
        <v>611</v>
      </c>
      <c r="C12" s="11" t="s">
        <v>82</v>
      </c>
      <c r="D12" s="20">
        <v>2960</v>
      </c>
      <c r="E12" s="47"/>
      <c r="F12" s="56">
        <f>+D12</f>
        <v>2960</v>
      </c>
      <c r="G12" s="4">
        <v>2106</v>
      </c>
      <c r="H12" s="120">
        <f>+G12/D12</f>
        <v>0.71148648648648649</v>
      </c>
      <c r="I12" s="4">
        <f>+F12</f>
        <v>2960</v>
      </c>
      <c r="J12" s="132">
        <v>1900</v>
      </c>
      <c r="K12" s="57"/>
      <c r="L12" s="53"/>
      <c r="M12" s="547">
        <v>62432</v>
      </c>
      <c r="N12" s="547">
        <v>2100</v>
      </c>
      <c r="O12" s="547">
        <v>60000</v>
      </c>
      <c r="P12" s="132">
        <v>60000</v>
      </c>
      <c r="Q12" s="132">
        <v>60000</v>
      </c>
      <c r="R12" s="132">
        <v>60000</v>
      </c>
      <c r="S12" s="132">
        <v>60000</v>
      </c>
      <c r="T12" s="132">
        <v>60000</v>
      </c>
    </row>
    <row r="13" spans="1:20" ht="12" hidden="1" customHeight="1" outlineLevel="2" x14ac:dyDescent="0.2">
      <c r="A13" s="44"/>
      <c r="B13" s="45">
        <v>612</v>
      </c>
      <c r="C13" s="11" t="s">
        <v>83</v>
      </c>
      <c r="D13" s="20">
        <v>728</v>
      </c>
      <c r="E13" s="47"/>
      <c r="F13" s="56">
        <f t="shared" ref="F13:F70" si="0">+D13</f>
        <v>728</v>
      </c>
      <c r="G13" s="4">
        <v>471</v>
      </c>
      <c r="H13" s="120">
        <f t="shared" ref="H13:H70" si="1">+G13/D13</f>
        <v>0.64697802197802201</v>
      </c>
      <c r="I13" s="4">
        <f>+F13</f>
        <v>728</v>
      </c>
      <c r="J13" s="132">
        <v>350</v>
      </c>
      <c r="K13" s="57"/>
      <c r="L13" s="53"/>
      <c r="M13" s="547">
        <v>11189</v>
      </c>
      <c r="N13" s="547">
        <v>400</v>
      </c>
      <c r="O13" s="547">
        <v>12600</v>
      </c>
      <c r="P13" s="132">
        <v>12600</v>
      </c>
      <c r="Q13" s="132">
        <v>12600</v>
      </c>
      <c r="R13" s="132">
        <v>12600</v>
      </c>
      <c r="S13" s="132">
        <v>12600</v>
      </c>
      <c r="T13" s="132">
        <v>12600</v>
      </c>
    </row>
    <row r="14" spans="1:20" ht="12" hidden="1" customHeight="1" outlineLevel="2" x14ac:dyDescent="0.2">
      <c r="A14" s="44"/>
      <c r="B14" s="10">
        <v>614</v>
      </c>
      <c r="C14" s="11" t="s">
        <v>208</v>
      </c>
      <c r="D14" s="20"/>
      <c r="E14" s="58"/>
      <c r="F14" s="56"/>
      <c r="G14" s="4"/>
      <c r="H14" s="120"/>
      <c r="I14" s="4"/>
      <c r="J14" s="132"/>
      <c r="K14" s="57"/>
      <c r="L14" s="53"/>
      <c r="M14" s="547"/>
      <c r="N14" s="547"/>
      <c r="O14" s="547"/>
      <c r="P14" s="132"/>
      <c r="Q14" s="132"/>
      <c r="R14" s="132"/>
      <c r="S14" s="132"/>
      <c r="T14" s="132"/>
    </row>
    <row r="15" spans="1:20" s="65" customFormat="1" ht="12" customHeight="1" collapsed="1" x14ac:dyDescent="0.2">
      <c r="A15" s="300"/>
      <c r="B15" s="301">
        <v>620</v>
      </c>
      <c r="C15" s="302" t="s">
        <v>52</v>
      </c>
      <c r="D15" s="291"/>
      <c r="E15" s="303"/>
      <c r="F15" s="293"/>
      <c r="G15" s="294">
        <f>SUM(G16:G25)</f>
        <v>958</v>
      </c>
      <c r="H15" s="295" t="e">
        <f>SUM(H16:H25)</f>
        <v>#DIV/0!</v>
      </c>
      <c r="I15" s="294">
        <f>SUM(I16:I25)</f>
        <v>802</v>
      </c>
      <c r="J15" s="296">
        <f>J16+J18+J19+J20+J21+J22+J23+J24</f>
        <v>869</v>
      </c>
      <c r="K15" s="304"/>
      <c r="L15" s="298">
        <f>+L14*0.3495</f>
        <v>0</v>
      </c>
      <c r="M15" s="546">
        <v>32780.050000000003</v>
      </c>
      <c r="N15" s="546">
        <f>N16+N18+N19+N20+N21+N22+N23+N24</f>
        <v>977</v>
      </c>
      <c r="O15" s="546">
        <v>39948.239999999998</v>
      </c>
      <c r="P15" s="296">
        <v>41940</v>
      </c>
      <c r="Q15" s="296">
        <v>38445</v>
      </c>
      <c r="R15" s="296">
        <v>41940</v>
      </c>
      <c r="S15" s="296">
        <v>41940</v>
      </c>
      <c r="T15" s="296">
        <v>41940</v>
      </c>
    </row>
    <row r="16" spans="1:20" ht="12" hidden="1" customHeight="1" outlineLevel="1" x14ac:dyDescent="0.2">
      <c r="A16" s="44"/>
      <c r="B16" s="45">
        <v>621</v>
      </c>
      <c r="C16" s="11" t="s">
        <v>205</v>
      </c>
      <c r="D16" s="20">
        <v>10</v>
      </c>
      <c r="E16" s="58"/>
      <c r="F16" s="56">
        <f t="shared" si="0"/>
        <v>10</v>
      </c>
      <c r="G16" s="4">
        <v>20</v>
      </c>
      <c r="H16" s="120">
        <f t="shared" si="1"/>
        <v>2</v>
      </c>
      <c r="I16" s="4">
        <v>20</v>
      </c>
      <c r="J16" s="132">
        <v>250</v>
      </c>
      <c r="L16" s="53"/>
      <c r="M16" s="547">
        <v>7408</v>
      </c>
      <c r="N16" s="547">
        <v>270</v>
      </c>
      <c r="O16" s="547">
        <v>7301</v>
      </c>
      <c r="P16" s="132">
        <v>7301</v>
      </c>
      <c r="Q16" s="132">
        <v>7301</v>
      </c>
      <c r="R16" s="132">
        <v>7301</v>
      </c>
      <c r="S16" s="132">
        <v>7301</v>
      </c>
      <c r="T16" s="132">
        <v>7301</v>
      </c>
    </row>
    <row r="17" spans="1:20" ht="12" hidden="1" customHeight="1" outlineLevel="1" x14ac:dyDescent="0.2">
      <c r="A17" s="44"/>
      <c r="B17" s="45"/>
      <c r="C17" s="11"/>
      <c r="D17" s="20">
        <f>+E14*E17</f>
        <v>0</v>
      </c>
      <c r="E17" s="66">
        <v>0.1</v>
      </c>
      <c r="F17" s="56">
        <f t="shared" si="0"/>
        <v>0</v>
      </c>
      <c r="G17" s="6">
        <v>230</v>
      </c>
      <c r="H17" s="120" t="e">
        <f t="shared" si="1"/>
        <v>#DIV/0!</v>
      </c>
      <c r="I17" s="4">
        <f>+F17</f>
        <v>0</v>
      </c>
      <c r="J17" s="132"/>
      <c r="L17" s="66">
        <v>0.1</v>
      </c>
      <c r="M17" s="547">
        <v>0</v>
      </c>
      <c r="N17" s="547">
        <v>0</v>
      </c>
      <c r="O17" s="547"/>
      <c r="P17" s="132"/>
      <c r="Q17" s="132"/>
      <c r="R17" s="132"/>
      <c r="S17" s="132"/>
      <c r="T17" s="132"/>
    </row>
    <row r="18" spans="1:20" ht="12" hidden="1" customHeight="1" outlineLevel="1" x14ac:dyDescent="0.2">
      <c r="A18" s="44"/>
      <c r="B18" s="45" t="s">
        <v>3</v>
      </c>
      <c r="C18" s="11" t="s">
        <v>85</v>
      </c>
      <c r="D18" s="20">
        <f>+E14*E18</f>
        <v>0</v>
      </c>
      <c r="E18" s="67">
        <v>1.4E-2</v>
      </c>
      <c r="F18" s="56">
        <f t="shared" si="0"/>
        <v>0</v>
      </c>
      <c r="G18" s="6">
        <v>30</v>
      </c>
      <c r="H18" s="120" t="e">
        <f t="shared" si="1"/>
        <v>#DIV/0!</v>
      </c>
      <c r="I18" s="4">
        <f>+F18</f>
        <v>0</v>
      </c>
      <c r="J18" s="132">
        <v>30</v>
      </c>
      <c r="L18" s="67">
        <v>1.4E-2</v>
      </c>
      <c r="M18" s="547">
        <v>903</v>
      </c>
      <c r="N18" s="547">
        <v>38</v>
      </c>
      <c r="O18" s="547">
        <v>900</v>
      </c>
      <c r="P18" s="132">
        <v>900</v>
      </c>
      <c r="Q18" s="132">
        <v>900</v>
      </c>
      <c r="R18" s="132">
        <v>900</v>
      </c>
      <c r="S18" s="132">
        <v>900</v>
      </c>
      <c r="T18" s="132">
        <v>900</v>
      </c>
    </row>
    <row r="19" spans="1:20" ht="12" hidden="1" customHeight="1" outlineLevel="1" x14ac:dyDescent="0.2">
      <c r="A19" s="44"/>
      <c r="B19" s="45" t="s">
        <v>4</v>
      </c>
      <c r="C19" s="11" t="s">
        <v>86</v>
      </c>
      <c r="D19" s="20">
        <f>+E14*E19</f>
        <v>0</v>
      </c>
      <c r="E19" s="66">
        <v>0.16</v>
      </c>
      <c r="F19" s="56">
        <f t="shared" si="0"/>
        <v>0</v>
      </c>
      <c r="G19" s="6">
        <v>360</v>
      </c>
      <c r="H19" s="120" t="e">
        <f t="shared" si="1"/>
        <v>#DIV/0!</v>
      </c>
      <c r="I19" s="4">
        <v>580</v>
      </c>
      <c r="J19" s="132">
        <v>350</v>
      </c>
      <c r="L19" s="66">
        <v>0.14000000000000001</v>
      </c>
      <c r="M19" s="547">
        <v>10107</v>
      </c>
      <c r="N19" s="547">
        <v>380</v>
      </c>
      <c r="O19" s="547">
        <v>9980</v>
      </c>
      <c r="P19" s="132">
        <v>9980</v>
      </c>
      <c r="Q19" s="132">
        <v>9980</v>
      </c>
      <c r="R19" s="132">
        <v>9980</v>
      </c>
      <c r="S19" s="132">
        <v>9980</v>
      </c>
      <c r="T19" s="132">
        <v>9980</v>
      </c>
    </row>
    <row r="20" spans="1:20" ht="12" hidden="1" customHeight="1" outlineLevel="1" x14ac:dyDescent="0.2">
      <c r="A20" s="44"/>
      <c r="B20" s="10">
        <v>625003</v>
      </c>
      <c r="C20" s="11" t="s">
        <v>87</v>
      </c>
      <c r="D20" s="20">
        <f>+E14*E20</f>
        <v>0</v>
      </c>
      <c r="E20" s="66">
        <v>8.0000000000000002E-3</v>
      </c>
      <c r="F20" s="56">
        <f t="shared" si="0"/>
        <v>0</v>
      </c>
      <c r="G20" s="6">
        <v>28</v>
      </c>
      <c r="H20" s="120" t="e">
        <f t="shared" si="1"/>
        <v>#DIV/0!</v>
      </c>
      <c r="I20" s="4">
        <f>+F20</f>
        <v>0</v>
      </c>
      <c r="J20" s="132">
        <v>20</v>
      </c>
      <c r="L20" s="66">
        <v>8.0000000000000002E-3</v>
      </c>
      <c r="M20" s="547">
        <v>668</v>
      </c>
      <c r="N20" s="547">
        <v>22</v>
      </c>
      <c r="O20" s="547">
        <v>640</v>
      </c>
      <c r="P20" s="132">
        <v>640</v>
      </c>
      <c r="Q20" s="132">
        <v>640</v>
      </c>
      <c r="R20" s="132">
        <v>640</v>
      </c>
      <c r="S20" s="132">
        <v>640</v>
      </c>
      <c r="T20" s="132">
        <v>640</v>
      </c>
    </row>
    <row r="21" spans="1:20" ht="12" hidden="1" customHeight="1" outlineLevel="1" x14ac:dyDescent="0.2">
      <c r="A21" s="44"/>
      <c r="B21" s="10">
        <v>625004</v>
      </c>
      <c r="C21" s="11" t="s">
        <v>88</v>
      </c>
      <c r="D21" s="20">
        <f>+E14*E21</f>
        <v>0</v>
      </c>
      <c r="E21" s="66">
        <v>0.03</v>
      </c>
      <c r="F21" s="56">
        <f t="shared" si="0"/>
        <v>0</v>
      </c>
      <c r="G21" s="6">
        <v>76</v>
      </c>
      <c r="H21" s="120" t="e">
        <f t="shared" si="1"/>
        <v>#DIV/0!</v>
      </c>
      <c r="I21" s="4">
        <f>+F21</f>
        <v>0</v>
      </c>
      <c r="J21" s="132">
        <v>70</v>
      </c>
      <c r="L21" s="66">
        <v>0.03</v>
      </c>
      <c r="M21" s="547">
        <v>2166</v>
      </c>
      <c r="N21" s="547">
        <v>80</v>
      </c>
      <c r="O21" s="547">
        <v>2150</v>
      </c>
      <c r="P21" s="132">
        <v>2150</v>
      </c>
      <c r="Q21" s="132">
        <v>2150</v>
      </c>
      <c r="R21" s="132">
        <v>2150</v>
      </c>
      <c r="S21" s="132">
        <v>2150</v>
      </c>
      <c r="T21" s="132">
        <v>2150</v>
      </c>
    </row>
    <row r="22" spans="1:20" ht="12" hidden="1" customHeight="1" outlineLevel="1" x14ac:dyDescent="0.2">
      <c r="A22" s="44"/>
      <c r="B22" s="10">
        <v>625005</v>
      </c>
      <c r="C22" s="11" t="s">
        <v>89</v>
      </c>
      <c r="D22" s="20">
        <v>42</v>
      </c>
      <c r="E22" s="66"/>
      <c r="F22" s="56">
        <f t="shared" si="0"/>
        <v>42</v>
      </c>
      <c r="G22" s="6">
        <v>25</v>
      </c>
      <c r="H22" s="120">
        <f t="shared" si="1"/>
        <v>0.59523809523809523</v>
      </c>
      <c r="I22" s="4">
        <f>+F22</f>
        <v>42</v>
      </c>
      <c r="J22" s="132">
        <v>21</v>
      </c>
      <c r="L22" s="66"/>
      <c r="M22" s="547">
        <v>721</v>
      </c>
      <c r="N22" s="547">
        <v>27</v>
      </c>
      <c r="O22" s="547">
        <v>660</v>
      </c>
      <c r="P22" s="132">
        <v>660</v>
      </c>
      <c r="Q22" s="132">
        <v>660</v>
      </c>
      <c r="R22" s="132">
        <v>660</v>
      </c>
      <c r="S22" s="132">
        <v>660</v>
      </c>
      <c r="T22" s="132">
        <v>660</v>
      </c>
    </row>
    <row r="23" spans="1:20" ht="12" hidden="1" customHeight="1" outlineLevel="1" x14ac:dyDescent="0.2">
      <c r="A23" s="44"/>
      <c r="B23" s="10">
        <v>625007</v>
      </c>
      <c r="C23" s="11" t="s">
        <v>206</v>
      </c>
      <c r="D23" s="20">
        <f>+E14*E23</f>
        <v>0</v>
      </c>
      <c r="E23" s="67">
        <v>2.75E-2</v>
      </c>
      <c r="F23" s="56">
        <f t="shared" si="0"/>
        <v>0</v>
      </c>
      <c r="G23" s="6">
        <v>114</v>
      </c>
      <c r="H23" s="120" t="e">
        <f t="shared" si="1"/>
        <v>#DIV/0!</v>
      </c>
      <c r="I23" s="4">
        <v>160</v>
      </c>
      <c r="J23" s="132">
        <v>100</v>
      </c>
      <c r="L23" s="67">
        <v>4.7500000000000001E-2</v>
      </c>
      <c r="M23" s="547">
        <v>3429</v>
      </c>
      <c r="N23" s="547">
        <v>130</v>
      </c>
      <c r="O23" s="547">
        <v>3500</v>
      </c>
      <c r="P23" s="132">
        <v>3500</v>
      </c>
      <c r="Q23" s="132">
        <v>3500</v>
      </c>
      <c r="R23" s="132">
        <v>3500</v>
      </c>
      <c r="S23" s="132">
        <v>3500</v>
      </c>
      <c r="T23" s="132">
        <v>3500</v>
      </c>
    </row>
    <row r="24" spans="1:20" ht="12" hidden="1" customHeight="1" outlineLevel="1" x14ac:dyDescent="0.2">
      <c r="A24" s="44"/>
      <c r="B24" s="45">
        <v>627</v>
      </c>
      <c r="C24" s="11" t="s">
        <v>91</v>
      </c>
      <c r="D24" s="20">
        <f>+E26*E14/100</f>
        <v>0</v>
      </c>
      <c r="E24" s="66">
        <v>0.01</v>
      </c>
      <c r="F24" s="56">
        <f t="shared" si="0"/>
        <v>0</v>
      </c>
      <c r="G24" s="6">
        <v>75</v>
      </c>
      <c r="H24" s="120" t="e">
        <f t="shared" si="1"/>
        <v>#DIV/0!</v>
      </c>
      <c r="I24" s="4">
        <f>+F24</f>
        <v>0</v>
      </c>
      <c r="J24" s="132">
        <v>28</v>
      </c>
      <c r="L24" s="66">
        <v>0.01</v>
      </c>
      <c r="M24" s="547">
        <v>1007</v>
      </c>
      <c r="N24" s="547">
        <v>30</v>
      </c>
      <c r="O24" s="547">
        <v>980</v>
      </c>
      <c r="P24" s="132">
        <v>980</v>
      </c>
      <c r="Q24" s="132">
        <v>980</v>
      </c>
      <c r="R24" s="132">
        <v>980</v>
      </c>
      <c r="S24" s="132">
        <v>980</v>
      </c>
      <c r="T24" s="132">
        <v>980</v>
      </c>
    </row>
    <row r="25" spans="1:20" ht="12" hidden="1" customHeight="1" outlineLevel="1" x14ac:dyDescent="0.2">
      <c r="A25" s="44"/>
      <c r="B25" s="45"/>
      <c r="C25" s="11"/>
      <c r="D25" s="20"/>
      <c r="E25" s="66"/>
      <c r="F25" s="56"/>
      <c r="G25" s="6"/>
      <c r="H25" s="120"/>
      <c r="I25" s="4"/>
      <c r="J25" s="132"/>
      <c r="L25" s="53"/>
      <c r="M25" s="547"/>
      <c r="N25" s="547"/>
      <c r="O25" s="547"/>
      <c r="P25" s="132"/>
      <c r="Q25" s="132"/>
      <c r="R25" s="132"/>
      <c r="S25" s="132"/>
      <c r="T25" s="132"/>
    </row>
    <row r="26" spans="1:20" s="70" customFormat="1" ht="12" customHeight="1" collapsed="1" x14ac:dyDescent="0.2">
      <c r="A26" s="288"/>
      <c r="B26" s="289">
        <v>630</v>
      </c>
      <c r="C26" s="290" t="s">
        <v>5</v>
      </c>
      <c r="D26" s="291"/>
      <c r="E26" s="292">
        <v>3</v>
      </c>
      <c r="F26" s="293"/>
      <c r="G26" s="294" t="e">
        <f>+G27+G29+G34+G47+G53+G59+G61</f>
        <v>#REF!</v>
      </c>
      <c r="H26" s="295" t="e">
        <f>+H27+H29+H34+H47+H53+H59+H61</f>
        <v>#REF!</v>
      </c>
      <c r="I26" s="294" t="e">
        <f>+I27+I29+I34+I47+I53+I59+I61</f>
        <v>#REF!</v>
      </c>
      <c r="J26" s="296" t="e">
        <f>J27+J29+J34+J47+J53+J59+J61</f>
        <v>#REF!</v>
      </c>
      <c r="K26" s="297"/>
      <c r="L26" s="298"/>
      <c r="M26" s="546">
        <v>46538.37</v>
      </c>
      <c r="N26" s="546" t="e">
        <f>N27+N29+N34+N47+N53+N59+N61</f>
        <v>#REF!</v>
      </c>
      <c r="O26" s="546">
        <v>52958.03</v>
      </c>
      <c r="P26" s="296">
        <v>47000</v>
      </c>
      <c r="Q26" s="296">
        <v>50000</v>
      </c>
      <c r="R26" s="296">
        <v>53000</v>
      </c>
      <c r="S26" s="296">
        <v>53050</v>
      </c>
      <c r="T26" s="296">
        <v>53150</v>
      </c>
    </row>
    <row r="27" spans="1:20" s="70" customFormat="1" ht="12" customHeight="1" x14ac:dyDescent="0.2">
      <c r="A27" s="139" t="s">
        <v>67</v>
      </c>
      <c r="B27" s="286">
        <v>631</v>
      </c>
      <c r="C27" s="269" t="s">
        <v>44</v>
      </c>
      <c r="D27" s="61"/>
      <c r="E27" s="69"/>
      <c r="F27" s="63"/>
      <c r="G27" s="64">
        <f>+G28</f>
        <v>78</v>
      </c>
      <c r="H27" s="121">
        <f>+H28</f>
        <v>1.1304347826086956</v>
      </c>
      <c r="I27" s="64">
        <f>+I28</f>
        <v>120</v>
      </c>
      <c r="J27" s="131">
        <v>5</v>
      </c>
      <c r="L27" s="53"/>
      <c r="M27" s="548">
        <v>381.32</v>
      </c>
      <c r="N27" s="548">
        <v>5</v>
      </c>
      <c r="O27" s="548">
        <v>176.34</v>
      </c>
      <c r="P27" s="131">
        <v>300</v>
      </c>
      <c r="Q27" s="131">
        <v>100</v>
      </c>
      <c r="R27" s="131">
        <v>300</v>
      </c>
      <c r="S27" s="131">
        <v>100</v>
      </c>
      <c r="T27" s="131">
        <v>100</v>
      </c>
    </row>
    <row r="28" spans="1:20" ht="12" hidden="1" customHeight="1" outlineLevel="1" x14ac:dyDescent="0.2">
      <c r="A28" s="44"/>
      <c r="B28" s="137" t="s">
        <v>6</v>
      </c>
      <c r="C28" s="135" t="s">
        <v>92</v>
      </c>
      <c r="D28" s="20">
        <v>69</v>
      </c>
      <c r="E28" s="47"/>
      <c r="F28" s="56">
        <f t="shared" si="0"/>
        <v>69</v>
      </c>
      <c r="G28" s="6">
        <v>78</v>
      </c>
      <c r="H28" s="120">
        <f t="shared" si="1"/>
        <v>1.1304347826086956</v>
      </c>
      <c r="I28" s="4">
        <v>120</v>
      </c>
      <c r="J28" s="132">
        <v>10</v>
      </c>
      <c r="L28" s="53"/>
      <c r="M28" s="547">
        <v>20</v>
      </c>
      <c r="N28" s="547">
        <v>20</v>
      </c>
      <c r="O28" s="547">
        <v>15</v>
      </c>
      <c r="P28" s="132">
        <v>15</v>
      </c>
      <c r="Q28" s="132">
        <v>15</v>
      </c>
      <c r="R28" s="132">
        <v>15</v>
      </c>
      <c r="S28" s="132">
        <v>15</v>
      </c>
      <c r="T28" s="132">
        <v>15</v>
      </c>
    </row>
    <row r="29" spans="1:20" s="70" customFormat="1" ht="12" customHeight="1" collapsed="1" x14ac:dyDescent="0.2">
      <c r="A29" s="68"/>
      <c r="B29" s="286">
        <v>632</v>
      </c>
      <c r="C29" s="268" t="s">
        <v>45</v>
      </c>
      <c r="D29" s="61"/>
      <c r="E29" s="69"/>
      <c r="F29" s="63"/>
      <c r="G29" s="64">
        <f>SUM(G30:G33)</f>
        <v>599</v>
      </c>
      <c r="H29" s="121">
        <f>SUM(H30:H33)</f>
        <v>1.8345</v>
      </c>
      <c r="I29" s="64">
        <f>SUM(I30:I33)</f>
        <v>770</v>
      </c>
      <c r="J29" s="131">
        <f>J30+J31+J32+J33</f>
        <v>420</v>
      </c>
      <c r="L29" s="53"/>
      <c r="M29" s="548">
        <v>14189.83</v>
      </c>
      <c r="N29" s="548">
        <f>N30+N31+N32+N33</f>
        <v>450</v>
      </c>
      <c r="O29" s="548">
        <v>11140.87</v>
      </c>
      <c r="P29" s="131">
        <v>15000</v>
      </c>
      <c r="Q29" s="131">
        <v>12000</v>
      </c>
      <c r="R29" s="131">
        <v>12000</v>
      </c>
      <c r="S29" s="131">
        <v>15000</v>
      </c>
      <c r="T29" s="131">
        <v>15000</v>
      </c>
    </row>
    <row r="30" spans="1:20" ht="12" hidden="1" customHeight="1" outlineLevel="1" x14ac:dyDescent="0.2">
      <c r="A30" s="44"/>
      <c r="B30" s="138">
        <v>632001</v>
      </c>
      <c r="C30" s="135" t="s">
        <v>182</v>
      </c>
      <c r="D30" s="20">
        <v>80</v>
      </c>
      <c r="E30" s="47"/>
      <c r="F30" s="56">
        <f t="shared" si="0"/>
        <v>80</v>
      </c>
      <c r="G30" s="6">
        <v>9</v>
      </c>
      <c r="H30" s="120">
        <f t="shared" si="1"/>
        <v>0.1125</v>
      </c>
      <c r="I30" s="4">
        <v>50</v>
      </c>
      <c r="J30" s="132">
        <v>150</v>
      </c>
      <c r="L30" s="53"/>
      <c r="M30" s="547">
        <v>7676</v>
      </c>
      <c r="N30" s="547">
        <v>180</v>
      </c>
      <c r="O30" s="547">
        <v>7100</v>
      </c>
      <c r="P30" s="132">
        <v>7100</v>
      </c>
      <c r="Q30" s="132">
        <v>7100</v>
      </c>
      <c r="R30" s="132">
        <v>7100</v>
      </c>
      <c r="S30" s="132">
        <v>7100</v>
      </c>
      <c r="T30" s="132">
        <v>7100</v>
      </c>
    </row>
    <row r="31" spans="1:20" ht="12" hidden="1" customHeight="1" outlineLevel="1" x14ac:dyDescent="0.2">
      <c r="A31" s="44"/>
      <c r="B31" s="138" t="s">
        <v>28</v>
      </c>
      <c r="C31" s="135" t="s">
        <v>183</v>
      </c>
      <c r="D31" s="20">
        <v>250</v>
      </c>
      <c r="E31" s="47"/>
      <c r="F31" s="56">
        <f t="shared" si="0"/>
        <v>250</v>
      </c>
      <c r="G31" s="6">
        <v>143</v>
      </c>
      <c r="H31" s="120">
        <f t="shared" si="1"/>
        <v>0.57199999999999995</v>
      </c>
      <c r="I31" s="4">
        <v>150</v>
      </c>
      <c r="J31" s="132">
        <v>150</v>
      </c>
      <c r="L31" s="53"/>
      <c r="M31" s="547">
        <v>9408</v>
      </c>
      <c r="N31" s="547">
        <v>150</v>
      </c>
      <c r="O31" s="547">
        <v>9073</v>
      </c>
      <c r="P31" s="132">
        <v>9073</v>
      </c>
      <c r="Q31" s="132">
        <v>9073</v>
      </c>
      <c r="R31" s="132">
        <v>9073</v>
      </c>
      <c r="S31" s="132">
        <v>9073</v>
      </c>
      <c r="T31" s="132">
        <v>9073</v>
      </c>
    </row>
    <row r="32" spans="1:20" ht="12" hidden="1" customHeight="1" outlineLevel="1" x14ac:dyDescent="0.2">
      <c r="A32" s="44"/>
      <c r="B32" s="138">
        <v>632002</v>
      </c>
      <c r="C32" s="135" t="s">
        <v>94</v>
      </c>
      <c r="D32" s="20">
        <v>20</v>
      </c>
      <c r="E32" s="47"/>
      <c r="F32" s="56">
        <f t="shared" si="0"/>
        <v>20</v>
      </c>
      <c r="G32" s="6">
        <v>7</v>
      </c>
      <c r="H32" s="120">
        <f t="shared" si="1"/>
        <v>0.35</v>
      </c>
      <c r="I32" s="4">
        <v>20</v>
      </c>
      <c r="J32" s="132">
        <v>0</v>
      </c>
      <c r="L32" s="53"/>
      <c r="M32" s="547">
        <v>0</v>
      </c>
      <c r="N32" s="547">
        <v>0</v>
      </c>
      <c r="O32" s="547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</row>
    <row r="33" spans="1:20" ht="20.399999999999999" hidden="1" outlineLevel="1" x14ac:dyDescent="0.2">
      <c r="A33" s="44"/>
      <c r="B33" s="138">
        <v>632003</v>
      </c>
      <c r="C33" s="135" t="s">
        <v>95</v>
      </c>
      <c r="D33" s="20">
        <v>550</v>
      </c>
      <c r="E33" s="47"/>
      <c r="F33" s="56">
        <f t="shared" si="0"/>
        <v>550</v>
      </c>
      <c r="G33" s="6">
        <v>440</v>
      </c>
      <c r="H33" s="120">
        <f t="shared" si="1"/>
        <v>0.8</v>
      </c>
      <c r="I33" s="4">
        <v>550</v>
      </c>
      <c r="J33" s="132">
        <v>120</v>
      </c>
      <c r="L33" s="53"/>
      <c r="M33" s="547">
        <v>2665</v>
      </c>
      <c r="N33" s="547">
        <v>120</v>
      </c>
      <c r="O33" s="547">
        <v>3900</v>
      </c>
      <c r="P33" s="132">
        <v>3900</v>
      </c>
      <c r="Q33" s="132">
        <v>3900</v>
      </c>
      <c r="R33" s="132">
        <v>3900</v>
      </c>
      <c r="S33" s="132">
        <v>3900</v>
      </c>
      <c r="T33" s="132">
        <v>3900</v>
      </c>
    </row>
    <row r="34" spans="1:20" s="70" customFormat="1" ht="12" customHeight="1" collapsed="1" x14ac:dyDescent="0.2">
      <c r="A34" s="78"/>
      <c r="B34" s="286">
        <v>633</v>
      </c>
      <c r="C34" s="269" t="s">
        <v>46</v>
      </c>
      <c r="D34" s="61"/>
      <c r="E34" s="69"/>
      <c r="F34" s="63">
        <f t="shared" si="0"/>
        <v>0</v>
      </c>
      <c r="G34" s="64">
        <f>SUM(G35:G45)</f>
        <v>472</v>
      </c>
      <c r="H34" s="121">
        <f>SUM(H35:H45)</f>
        <v>4.4903571428571425</v>
      </c>
      <c r="I34" s="64">
        <f>SUM(I35:I45)</f>
        <v>830</v>
      </c>
      <c r="J34" s="131">
        <f>J35+J36+J38+J40+J42+J45+J37</f>
        <v>452</v>
      </c>
      <c r="L34" s="53"/>
      <c r="M34" s="548">
        <v>5554.06</v>
      </c>
      <c r="N34" s="548">
        <f>N35+N36+N38+N40+N42+N45+N37+N41</f>
        <v>455</v>
      </c>
      <c r="O34" s="548">
        <v>3741.52</v>
      </c>
      <c r="P34" s="131">
        <v>5500</v>
      </c>
      <c r="Q34" s="131">
        <v>4000</v>
      </c>
      <c r="R34" s="131">
        <v>5500</v>
      </c>
      <c r="S34" s="131">
        <v>3500</v>
      </c>
      <c r="T34" s="131">
        <v>5000</v>
      </c>
    </row>
    <row r="35" spans="1:20" ht="12" hidden="1" customHeight="1" outlineLevel="1" x14ac:dyDescent="0.2">
      <c r="A35" s="44"/>
      <c r="B35" s="138">
        <v>633001</v>
      </c>
      <c r="C35" s="135" t="s">
        <v>96</v>
      </c>
      <c r="D35" s="20">
        <v>250</v>
      </c>
      <c r="E35" s="47"/>
      <c r="F35" s="56">
        <f t="shared" si="0"/>
        <v>250</v>
      </c>
      <c r="G35" s="6">
        <v>90</v>
      </c>
      <c r="H35" s="120">
        <f t="shared" si="1"/>
        <v>0.36</v>
      </c>
      <c r="I35" s="4">
        <v>250</v>
      </c>
      <c r="J35" s="132">
        <v>0</v>
      </c>
      <c r="L35" s="53"/>
      <c r="M35" s="547">
        <v>0</v>
      </c>
      <c r="N35" s="547">
        <v>0</v>
      </c>
      <c r="O35" s="547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</row>
    <row r="36" spans="1:20" ht="12" hidden="1" customHeight="1" outlineLevel="1" x14ac:dyDescent="0.2">
      <c r="A36" s="44"/>
      <c r="B36" s="137" t="s">
        <v>7</v>
      </c>
      <c r="C36" s="135" t="s">
        <v>97</v>
      </c>
      <c r="D36" s="20">
        <v>150</v>
      </c>
      <c r="E36" s="47"/>
      <c r="F36" s="56">
        <f t="shared" si="0"/>
        <v>150</v>
      </c>
      <c r="G36" s="6">
        <v>138</v>
      </c>
      <c r="H36" s="120">
        <f t="shared" si="1"/>
        <v>0.92</v>
      </c>
      <c r="I36" s="4">
        <v>240</v>
      </c>
      <c r="J36" s="132">
        <v>20</v>
      </c>
      <c r="L36" s="53"/>
      <c r="M36" s="547">
        <v>0</v>
      </c>
      <c r="N36" s="547">
        <v>20</v>
      </c>
      <c r="O36" s="547">
        <v>1620</v>
      </c>
      <c r="P36" s="132">
        <v>1620</v>
      </c>
      <c r="Q36" s="132">
        <v>1620</v>
      </c>
      <c r="R36" s="132">
        <v>1620</v>
      </c>
      <c r="S36" s="132">
        <v>1620</v>
      </c>
      <c r="T36" s="132">
        <v>1620</v>
      </c>
    </row>
    <row r="37" spans="1:20" ht="12" hidden="1" customHeight="1" outlineLevel="1" x14ac:dyDescent="0.2">
      <c r="A37" s="44"/>
      <c r="B37" s="137">
        <v>633015</v>
      </c>
      <c r="C37" s="135" t="s">
        <v>215</v>
      </c>
      <c r="D37" s="20"/>
      <c r="E37" s="47"/>
      <c r="F37" s="56"/>
      <c r="G37" s="6"/>
      <c r="H37" s="120"/>
      <c r="I37" s="4"/>
      <c r="J37" s="132">
        <v>12</v>
      </c>
      <c r="L37" s="53"/>
      <c r="M37" s="547">
        <v>494</v>
      </c>
      <c r="N37" s="547">
        <v>15</v>
      </c>
      <c r="O37" s="547">
        <v>290</v>
      </c>
      <c r="P37" s="132">
        <v>290</v>
      </c>
      <c r="Q37" s="132">
        <v>290</v>
      </c>
      <c r="R37" s="132">
        <v>290</v>
      </c>
      <c r="S37" s="132">
        <v>290</v>
      </c>
      <c r="T37" s="132">
        <v>290</v>
      </c>
    </row>
    <row r="38" spans="1:20" ht="12" hidden="1" customHeight="1" outlineLevel="1" x14ac:dyDescent="0.2">
      <c r="A38" s="44"/>
      <c r="B38" s="138">
        <v>633006</v>
      </c>
      <c r="C38" s="135" t="s">
        <v>98</v>
      </c>
      <c r="D38" s="20">
        <v>80</v>
      </c>
      <c r="E38" s="47"/>
      <c r="F38" s="56">
        <f t="shared" si="0"/>
        <v>80</v>
      </c>
      <c r="G38" s="6">
        <v>81</v>
      </c>
      <c r="H38" s="120">
        <f t="shared" si="1"/>
        <v>1.0125</v>
      </c>
      <c r="I38" s="4">
        <v>110</v>
      </c>
      <c r="J38" s="132">
        <v>350</v>
      </c>
      <c r="L38" s="53"/>
      <c r="M38" s="547">
        <v>4898</v>
      </c>
      <c r="N38" s="547">
        <v>340</v>
      </c>
      <c r="O38" s="547">
        <v>4320</v>
      </c>
      <c r="P38" s="132">
        <v>4320</v>
      </c>
      <c r="Q38" s="132">
        <v>4320</v>
      </c>
      <c r="R38" s="132">
        <v>4320</v>
      </c>
      <c r="S38" s="132">
        <v>4320</v>
      </c>
      <c r="T38" s="132">
        <v>4320</v>
      </c>
    </row>
    <row r="39" spans="1:20" ht="12" hidden="1" customHeight="1" outlineLevel="1" x14ac:dyDescent="0.2">
      <c r="A39" s="44"/>
      <c r="B39" s="138"/>
      <c r="C39" s="135"/>
      <c r="D39" s="20"/>
      <c r="E39" s="47"/>
      <c r="F39" s="56"/>
      <c r="G39" s="6"/>
      <c r="H39" s="120"/>
      <c r="I39" s="4"/>
      <c r="J39" s="132"/>
      <c r="L39" s="53"/>
      <c r="M39" s="547"/>
      <c r="N39" s="547"/>
      <c r="O39" s="547"/>
      <c r="P39" s="132"/>
      <c r="Q39" s="132"/>
      <c r="R39" s="132"/>
      <c r="S39" s="132"/>
      <c r="T39" s="132"/>
    </row>
    <row r="40" spans="1:20" ht="12" hidden="1" customHeight="1" outlineLevel="1" x14ac:dyDescent="0.2">
      <c r="A40" s="44"/>
      <c r="B40" s="138">
        <v>633009</v>
      </c>
      <c r="C40" s="135" t="s">
        <v>207</v>
      </c>
      <c r="D40" s="46">
        <v>100</v>
      </c>
      <c r="E40" s="47"/>
      <c r="F40" s="56">
        <f t="shared" si="0"/>
        <v>100</v>
      </c>
      <c r="G40" s="6">
        <v>88</v>
      </c>
      <c r="H40" s="120">
        <f t="shared" si="1"/>
        <v>0.88</v>
      </c>
      <c r="I40" s="6">
        <v>120</v>
      </c>
      <c r="J40" s="133">
        <v>26</v>
      </c>
      <c r="L40" s="53"/>
      <c r="M40" s="547">
        <v>258</v>
      </c>
      <c r="N40" s="547">
        <v>20</v>
      </c>
      <c r="O40" s="547">
        <v>550</v>
      </c>
      <c r="P40" s="133">
        <v>550</v>
      </c>
      <c r="Q40" s="133">
        <v>550</v>
      </c>
      <c r="R40" s="133">
        <v>550</v>
      </c>
      <c r="S40" s="133">
        <v>550</v>
      </c>
      <c r="T40" s="133">
        <v>550</v>
      </c>
    </row>
    <row r="41" spans="1:20" ht="12" hidden="1" customHeight="1" outlineLevel="1" x14ac:dyDescent="0.2">
      <c r="A41" s="44"/>
      <c r="B41" s="138">
        <v>633010</v>
      </c>
      <c r="C41" s="135" t="s">
        <v>198</v>
      </c>
      <c r="D41" s="46"/>
      <c r="E41" s="47"/>
      <c r="F41" s="56"/>
      <c r="G41" s="6"/>
      <c r="H41" s="120"/>
      <c r="I41" s="6"/>
      <c r="J41" s="133">
        <v>0</v>
      </c>
      <c r="L41" s="53"/>
      <c r="M41" s="547">
        <v>198</v>
      </c>
      <c r="N41" s="547">
        <v>10</v>
      </c>
      <c r="O41" s="547">
        <v>500</v>
      </c>
      <c r="P41" s="133">
        <v>500</v>
      </c>
      <c r="Q41" s="133">
        <v>500</v>
      </c>
      <c r="R41" s="133">
        <v>500</v>
      </c>
      <c r="S41" s="133">
        <v>500</v>
      </c>
      <c r="T41" s="133">
        <v>500</v>
      </c>
    </row>
    <row r="42" spans="1:20" ht="12" hidden="1" customHeight="1" outlineLevel="1" x14ac:dyDescent="0.2">
      <c r="A42" s="44"/>
      <c r="B42" s="138">
        <v>633013</v>
      </c>
      <c r="C42" s="135" t="s">
        <v>99</v>
      </c>
      <c r="D42" s="46">
        <v>70</v>
      </c>
      <c r="E42" s="47"/>
      <c r="F42" s="56">
        <f t="shared" si="0"/>
        <v>70</v>
      </c>
      <c r="G42" s="6">
        <v>52</v>
      </c>
      <c r="H42" s="120">
        <f t="shared" si="1"/>
        <v>0.74285714285714288</v>
      </c>
      <c r="I42" s="4">
        <f>+F42</f>
        <v>70</v>
      </c>
      <c r="J42" s="132">
        <v>4</v>
      </c>
      <c r="L42" s="53"/>
      <c r="M42" s="547">
        <v>0</v>
      </c>
      <c r="N42" s="547">
        <v>10</v>
      </c>
      <c r="O42" s="547">
        <v>320</v>
      </c>
      <c r="P42" s="132">
        <v>320</v>
      </c>
      <c r="Q42" s="132">
        <v>320</v>
      </c>
      <c r="R42" s="132">
        <v>320</v>
      </c>
      <c r="S42" s="132">
        <v>320</v>
      </c>
      <c r="T42" s="132">
        <v>320</v>
      </c>
    </row>
    <row r="43" spans="1:20" ht="12" hidden="1" customHeight="1" outlineLevel="1" x14ac:dyDescent="0.2">
      <c r="A43" s="44"/>
      <c r="B43" s="138"/>
      <c r="C43" s="135"/>
      <c r="D43" s="46"/>
      <c r="E43" s="47"/>
      <c r="F43" s="56"/>
      <c r="G43" s="6"/>
      <c r="H43" s="120"/>
      <c r="I43" s="4"/>
      <c r="J43" s="132"/>
      <c r="L43" s="53"/>
      <c r="M43" s="547"/>
      <c r="N43" s="547"/>
      <c r="O43" s="547"/>
      <c r="P43" s="132"/>
      <c r="Q43" s="132"/>
      <c r="R43" s="132"/>
      <c r="S43" s="132"/>
      <c r="T43" s="132"/>
    </row>
    <row r="44" spans="1:20" ht="12" hidden="1" customHeight="1" outlineLevel="1" x14ac:dyDescent="0.2">
      <c r="A44" s="44"/>
      <c r="B44" s="138"/>
      <c r="C44" s="135"/>
      <c r="D44" s="46"/>
      <c r="E44" s="47"/>
      <c r="F44" s="56"/>
      <c r="G44" s="6"/>
      <c r="H44" s="120"/>
      <c r="I44" s="4"/>
      <c r="J44" s="132"/>
      <c r="L44" s="53"/>
      <c r="M44" s="547"/>
      <c r="N44" s="547"/>
      <c r="O44" s="547"/>
      <c r="P44" s="132"/>
      <c r="Q44" s="132"/>
      <c r="R44" s="132"/>
      <c r="S44" s="132"/>
      <c r="T44" s="132"/>
    </row>
    <row r="45" spans="1:20" ht="12" hidden="1" customHeight="1" outlineLevel="1" x14ac:dyDescent="0.2">
      <c r="A45" s="44"/>
      <c r="B45" s="138">
        <v>633016</v>
      </c>
      <c r="C45" s="135" t="s">
        <v>100</v>
      </c>
      <c r="D45" s="20">
        <v>40</v>
      </c>
      <c r="E45" s="47"/>
      <c r="F45" s="56">
        <f t="shared" si="0"/>
        <v>40</v>
      </c>
      <c r="G45" s="6">
        <f>34-11</f>
        <v>23</v>
      </c>
      <c r="H45" s="120">
        <f t="shared" si="1"/>
        <v>0.57499999999999996</v>
      </c>
      <c r="I45" s="4">
        <v>40</v>
      </c>
      <c r="J45" s="132">
        <v>40</v>
      </c>
      <c r="L45" s="53"/>
      <c r="M45" s="547">
        <v>2142</v>
      </c>
      <c r="N45" s="547">
        <v>40</v>
      </c>
      <c r="O45" s="547">
        <v>1970</v>
      </c>
      <c r="P45" s="132">
        <v>1970</v>
      </c>
      <c r="Q45" s="132">
        <v>1970</v>
      </c>
      <c r="R45" s="132">
        <v>1970</v>
      </c>
      <c r="S45" s="132">
        <v>1970</v>
      </c>
      <c r="T45" s="132">
        <v>1970</v>
      </c>
    </row>
    <row r="46" spans="1:20" ht="12" hidden="1" customHeight="1" outlineLevel="1" x14ac:dyDescent="0.2">
      <c r="A46" s="44"/>
      <c r="B46" s="138"/>
      <c r="C46" s="135" t="s">
        <v>203</v>
      </c>
      <c r="D46" s="20"/>
      <c r="E46" s="47"/>
      <c r="F46" s="56"/>
      <c r="G46" s="6"/>
      <c r="H46" s="120"/>
      <c r="I46" s="4"/>
      <c r="J46" s="132"/>
      <c r="L46" s="53"/>
      <c r="M46" s="547"/>
      <c r="N46" s="547"/>
      <c r="O46" s="547"/>
      <c r="P46" s="132"/>
      <c r="Q46" s="132"/>
      <c r="R46" s="132"/>
      <c r="S46" s="132"/>
      <c r="T46" s="132"/>
    </row>
    <row r="47" spans="1:20" s="70" customFormat="1" ht="12" customHeight="1" collapsed="1" x14ac:dyDescent="0.2">
      <c r="A47" s="78"/>
      <c r="B47" s="286">
        <v>634</v>
      </c>
      <c r="C47" s="269" t="s">
        <v>8</v>
      </c>
      <c r="D47" s="71"/>
      <c r="E47" s="69"/>
      <c r="F47" s="63"/>
      <c r="G47" s="72">
        <f>SUM(G48:G51)</f>
        <v>242</v>
      </c>
      <c r="H47" s="68">
        <f>SUM(H48:H51)</f>
        <v>3.2677732793522267</v>
      </c>
      <c r="I47" s="72">
        <f>SUM(I48:I51)</f>
        <v>370</v>
      </c>
      <c r="J47" s="131">
        <f>J48+J49+J50+J51+J52</f>
        <v>525</v>
      </c>
      <c r="L47" s="53"/>
      <c r="M47" s="548">
        <v>1013.21</v>
      </c>
      <c r="N47" s="548">
        <f>N48+N49+N50+N51+N52</f>
        <v>516</v>
      </c>
      <c r="O47" s="548">
        <v>1593.83</v>
      </c>
      <c r="P47" s="131">
        <v>1550</v>
      </c>
      <c r="Q47" s="131">
        <v>1000</v>
      </c>
      <c r="R47" s="131">
        <v>1550</v>
      </c>
      <c r="S47" s="131">
        <v>1950</v>
      </c>
      <c r="T47" s="131">
        <v>1950</v>
      </c>
    </row>
    <row r="48" spans="1:20" ht="12" hidden="1" customHeight="1" outlineLevel="1" x14ac:dyDescent="0.2">
      <c r="A48" s="44"/>
      <c r="B48" s="137" t="s">
        <v>9</v>
      </c>
      <c r="C48" s="135" t="s">
        <v>209</v>
      </c>
      <c r="D48" s="46">
        <v>130</v>
      </c>
      <c r="E48" s="47"/>
      <c r="F48" s="56">
        <f t="shared" si="0"/>
        <v>130</v>
      </c>
      <c r="G48" s="6">
        <v>128</v>
      </c>
      <c r="H48" s="120">
        <f t="shared" si="1"/>
        <v>0.98461538461538467</v>
      </c>
      <c r="I48" s="6">
        <v>190</v>
      </c>
      <c r="J48" s="133">
        <v>220</v>
      </c>
      <c r="L48" s="53"/>
      <c r="M48" s="547">
        <v>3932</v>
      </c>
      <c r="N48" s="547">
        <v>220</v>
      </c>
      <c r="O48" s="547">
        <v>3800</v>
      </c>
      <c r="P48" s="133">
        <v>3800</v>
      </c>
      <c r="Q48" s="133">
        <v>3800</v>
      </c>
      <c r="R48" s="133">
        <v>3800</v>
      </c>
      <c r="S48" s="133">
        <v>3800</v>
      </c>
      <c r="T48" s="133">
        <v>3800</v>
      </c>
    </row>
    <row r="49" spans="1:21" ht="12" hidden="1" customHeight="1" outlineLevel="1" x14ac:dyDescent="0.2">
      <c r="A49" s="44"/>
      <c r="B49" s="138">
        <v>634002</v>
      </c>
      <c r="C49" s="135" t="s">
        <v>210</v>
      </c>
      <c r="D49" s="46">
        <v>100</v>
      </c>
      <c r="E49" s="58"/>
      <c r="F49" s="56">
        <f t="shared" si="0"/>
        <v>100</v>
      </c>
      <c r="G49" s="6">
        <v>52</v>
      </c>
      <c r="H49" s="120">
        <f t="shared" si="1"/>
        <v>0.52</v>
      </c>
      <c r="I49" s="6">
        <v>100</v>
      </c>
      <c r="J49" s="133">
        <v>150</v>
      </c>
      <c r="L49" s="53"/>
      <c r="M49" s="547">
        <v>1516</v>
      </c>
      <c r="N49" s="547">
        <v>150</v>
      </c>
      <c r="O49" s="547">
        <v>2475</v>
      </c>
      <c r="P49" s="133">
        <v>2475</v>
      </c>
      <c r="Q49" s="133">
        <v>2475</v>
      </c>
      <c r="R49" s="133">
        <v>2475</v>
      </c>
      <c r="S49" s="133">
        <v>2475</v>
      </c>
      <c r="T49" s="133">
        <v>2475</v>
      </c>
    </row>
    <row r="50" spans="1:21" ht="12" hidden="1" customHeight="1" outlineLevel="1" x14ac:dyDescent="0.2">
      <c r="A50" s="44"/>
      <c r="B50" s="138">
        <v>634005</v>
      </c>
      <c r="C50" s="135" t="s">
        <v>204</v>
      </c>
      <c r="D50" s="46">
        <v>4</v>
      </c>
      <c r="E50" s="47"/>
      <c r="F50" s="56">
        <f t="shared" si="0"/>
        <v>4</v>
      </c>
      <c r="G50" s="6">
        <v>4</v>
      </c>
      <c r="H50" s="120">
        <f t="shared" si="1"/>
        <v>1</v>
      </c>
      <c r="I50" s="6">
        <v>4</v>
      </c>
      <c r="J50" s="133">
        <v>15</v>
      </c>
      <c r="L50" s="53"/>
      <c r="M50" s="547">
        <v>415</v>
      </c>
      <c r="N50" s="547">
        <v>16</v>
      </c>
      <c r="O50" s="547">
        <v>420</v>
      </c>
      <c r="P50" s="133">
        <v>420</v>
      </c>
      <c r="Q50" s="133">
        <v>420</v>
      </c>
      <c r="R50" s="133">
        <v>420</v>
      </c>
      <c r="S50" s="133">
        <v>420</v>
      </c>
      <c r="T50" s="133">
        <v>420</v>
      </c>
    </row>
    <row r="51" spans="1:21" ht="12" hidden="1" customHeight="1" outlineLevel="1" x14ac:dyDescent="0.2">
      <c r="A51" s="44"/>
      <c r="B51" s="138">
        <v>634004</v>
      </c>
      <c r="C51" s="135" t="s">
        <v>211</v>
      </c>
      <c r="D51" s="46">
        <v>76</v>
      </c>
      <c r="E51" s="47"/>
      <c r="F51" s="56">
        <f t="shared" si="0"/>
        <v>76</v>
      </c>
      <c r="G51" s="6">
        <v>58</v>
      </c>
      <c r="H51" s="120">
        <f t="shared" si="1"/>
        <v>0.76315789473684215</v>
      </c>
      <c r="I51" s="6">
        <v>76</v>
      </c>
      <c r="J51" s="133">
        <v>20</v>
      </c>
      <c r="K51" s="14" t="s">
        <v>68</v>
      </c>
      <c r="L51" s="53"/>
      <c r="M51" s="547">
        <v>604</v>
      </c>
      <c r="N51" s="547">
        <v>10</v>
      </c>
      <c r="O51" s="547">
        <v>1079</v>
      </c>
      <c r="P51" s="133">
        <v>1079</v>
      </c>
      <c r="Q51" s="133">
        <v>1079</v>
      </c>
      <c r="R51" s="133">
        <v>1079</v>
      </c>
      <c r="S51" s="133">
        <v>1079</v>
      </c>
      <c r="T51" s="133">
        <v>1079</v>
      </c>
    </row>
    <row r="52" spans="1:21" ht="12" customHeight="1" collapsed="1" x14ac:dyDescent="0.2">
      <c r="A52" s="44"/>
      <c r="B52" s="138">
        <v>634003</v>
      </c>
      <c r="C52" s="135" t="s">
        <v>216</v>
      </c>
      <c r="D52" s="46"/>
      <c r="E52" s="47"/>
      <c r="F52" s="58"/>
      <c r="G52" s="6"/>
      <c r="H52" s="120"/>
      <c r="I52" s="6"/>
      <c r="J52" s="6">
        <v>120</v>
      </c>
      <c r="L52" s="53"/>
      <c r="M52" s="549">
        <v>432.84</v>
      </c>
      <c r="N52" s="549">
        <v>120</v>
      </c>
      <c r="O52" s="549">
        <v>857.63</v>
      </c>
      <c r="P52" s="6">
        <v>500</v>
      </c>
      <c r="Q52" s="6">
        <v>550</v>
      </c>
      <c r="R52" s="6">
        <v>500</v>
      </c>
      <c r="S52" s="6">
        <v>500</v>
      </c>
      <c r="T52" s="6">
        <v>500</v>
      </c>
    </row>
    <row r="53" spans="1:21" s="70" customFormat="1" ht="12" customHeight="1" x14ac:dyDescent="0.2">
      <c r="A53" s="78"/>
      <c r="B53" s="286">
        <v>635</v>
      </c>
      <c r="C53" s="269" t="s">
        <v>47</v>
      </c>
      <c r="D53" s="71"/>
      <c r="E53" s="69"/>
      <c r="F53" s="62"/>
      <c r="G53" s="72">
        <f>SUM(G54:G58)</f>
        <v>159</v>
      </c>
      <c r="H53" s="68">
        <f>SUM(H54:H58)</f>
        <v>12.546666666666667</v>
      </c>
      <c r="I53" s="72">
        <f>SUM(I54:I58)</f>
        <v>172</v>
      </c>
      <c r="J53" s="131">
        <f>J54+J55+J56+J58</f>
        <v>685</v>
      </c>
      <c r="L53" s="53"/>
      <c r="M53" s="548">
        <v>2285.84</v>
      </c>
      <c r="N53" s="548">
        <f>N54+N55+N56+N58</f>
        <v>435</v>
      </c>
      <c r="O53" s="548">
        <v>1186.07</v>
      </c>
      <c r="P53" s="131">
        <v>1000</v>
      </c>
      <c r="Q53" s="131">
        <v>1250</v>
      </c>
      <c r="R53" s="131">
        <v>1000</v>
      </c>
      <c r="S53" s="131">
        <v>1000</v>
      </c>
      <c r="T53" s="131">
        <v>1000</v>
      </c>
    </row>
    <row r="54" spans="1:21" ht="12" hidden="1" customHeight="1" outlineLevel="1" x14ac:dyDescent="0.2">
      <c r="A54" s="44"/>
      <c r="B54" s="137" t="s">
        <v>10</v>
      </c>
      <c r="C54" s="135" t="s">
        <v>104</v>
      </c>
      <c r="D54" s="46">
        <v>2</v>
      </c>
      <c r="E54" s="47"/>
      <c r="F54" s="56">
        <f t="shared" si="0"/>
        <v>2</v>
      </c>
      <c r="G54" s="6">
        <v>19</v>
      </c>
      <c r="H54" s="120">
        <f t="shared" si="1"/>
        <v>9.5</v>
      </c>
      <c r="I54" s="6">
        <v>30</v>
      </c>
      <c r="J54" s="133">
        <v>0</v>
      </c>
      <c r="L54" s="53"/>
      <c r="M54" s="547">
        <v>0</v>
      </c>
      <c r="N54" s="547">
        <v>0</v>
      </c>
      <c r="O54" s="547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</row>
    <row r="55" spans="1:21" ht="12" hidden="1" customHeight="1" outlineLevel="1" x14ac:dyDescent="0.2">
      <c r="A55" s="44"/>
      <c r="B55" s="137" t="s">
        <v>11</v>
      </c>
      <c r="C55" s="135" t="s">
        <v>105</v>
      </c>
      <c r="D55" s="46">
        <v>75</v>
      </c>
      <c r="E55" s="47"/>
      <c r="F55" s="56">
        <f t="shared" si="0"/>
        <v>75</v>
      </c>
      <c r="G55" s="6">
        <v>62</v>
      </c>
      <c r="H55" s="120">
        <f t="shared" si="1"/>
        <v>0.82666666666666666</v>
      </c>
      <c r="I55" s="6">
        <v>75</v>
      </c>
      <c r="J55" s="133">
        <v>20</v>
      </c>
      <c r="L55" s="53"/>
      <c r="M55" s="547">
        <v>971</v>
      </c>
      <c r="N55" s="547">
        <v>20</v>
      </c>
      <c r="O55" s="547">
        <v>190</v>
      </c>
      <c r="P55" s="133">
        <v>190</v>
      </c>
      <c r="Q55" s="133">
        <v>190</v>
      </c>
      <c r="R55" s="133">
        <v>190</v>
      </c>
      <c r="S55" s="133">
        <v>190</v>
      </c>
      <c r="T55" s="133">
        <v>190</v>
      </c>
    </row>
    <row r="56" spans="1:21" ht="12" hidden="1" customHeight="1" outlineLevel="1" x14ac:dyDescent="0.2">
      <c r="A56" s="44"/>
      <c r="B56" s="138">
        <v>635006</v>
      </c>
      <c r="C56" s="135" t="s">
        <v>106</v>
      </c>
      <c r="D56" s="46">
        <v>50</v>
      </c>
      <c r="E56" s="47"/>
      <c r="F56" s="56">
        <f t="shared" si="0"/>
        <v>50</v>
      </c>
      <c r="G56" s="6">
        <v>61</v>
      </c>
      <c r="H56" s="120">
        <f t="shared" si="1"/>
        <v>1.22</v>
      </c>
      <c r="I56" s="6">
        <v>50</v>
      </c>
      <c r="J56" s="133">
        <v>650</v>
      </c>
      <c r="L56" s="53"/>
      <c r="M56" s="547">
        <v>535</v>
      </c>
      <c r="N56" s="547">
        <v>400</v>
      </c>
      <c r="O56" s="547">
        <v>13500</v>
      </c>
      <c r="P56" s="133">
        <v>13500</v>
      </c>
      <c r="Q56" s="133">
        <v>13500</v>
      </c>
      <c r="R56" s="133">
        <v>13500</v>
      </c>
      <c r="S56" s="133">
        <v>13500</v>
      </c>
      <c r="T56" s="133">
        <v>13500</v>
      </c>
    </row>
    <row r="57" spans="1:21" ht="12" hidden="1" customHeight="1" outlineLevel="1" x14ac:dyDescent="0.2">
      <c r="A57" s="44"/>
      <c r="B57" s="138"/>
      <c r="C57" s="135"/>
      <c r="D57" s="20"/>
      <c r="E57" s="47"/>
      <c r="F57" s="56"/>
      <c r="G57" s="6"/>
      <c r="H57" s="120"/>
      <c r="I57" s="4"/>
      <c r="J57" s="132"/>
      <c r="L57" s="53"/>
      <c r="M57" s="547"/>
      <c r="N57" s="547"/>
      <c r="O57" s="547"/>
      <c r="P57" s="132"/>
      <c r="Q57" s="132"/>
      <c r="R57" s="132"/>
      <c r="S57" s="132"/>
      <c r="T57" s="132"/>
    </row>
    <row r="58" spans="1:21" ht="12" hidden="1" customHeight="1" outlineLevel="1" x14ac:dyDescent="0.2">
      <c r="A58" s="44"/>
      <c r="B58" s="138">
        <v>635004</v>
      </c>
      <c r="C58" s="135" t="s">
        <v>212</v>
      </c>
      <c r="D58" s="20">
        <v>17</v>
      </c>
      <c r="E58" s="47"/>
      <c r="F58" s="56">
        <f t="shared" si="0"/>
        <v>17</v>
      </c>
      <c r="G58" s="6">
        <v>17</v>
      </c>
      <c r="H58" s="120">
        <f t="shared" si="1"/>
        <v>1</v>
      </c>
      <c r="I58" s="4">
        <v>17</v>
      </c>
      <c r="J58" s="132">
        <v>15</v>
      </c>
      <c r="L58" s="53"/>
      <c r="M58" s="547">
        <v>0</v>
      </c>
      <c r="N58" s="547">
        <v>15</v>
      </c>
      <c r="O58" s="547">
        <v>350</v>
      </c>
      <c r="P58" s="132">
        <v>350</v>
      </c>
      <c r="Q58" s="132">
        <v>350</v>
      </c>
      <c r="R58" s="132">
        <v>350</v>
      </c>
      <c r="S58" s="132">
        <v>350</v>
      </c>
      <c r="T58" s="132">
        <v>350</v>
      </c>
    </row>
    <row r="59" spans="1:21" s="70" customFormat="1" ht="12" customHeight="1" collapsed="1" x14ac:dyDescent="0.2">
      <c r="A59" s="78"/>
      <c r="B59" s="84">
        <v>636</v>
      </c>
      <c r="C59" s="268" t="s">
        <v>286</v>
      </c>
      <c r="D59" s="61"/>
      <c r="E59" s="69"/>
      <c r="F59" s="63"/>
      <c r="G59" s="64">
        <f>+G60</f>
        <v>1</v>
      </c>
      <c r="H59" s="121">
        <f>+H60</f>
        <v>1</v>
      </c>
      <c r="I59" s="64">
        <f>+I60</f>
        <v>1</v>
      </c>
      <c r="J59" s="131">
        <v>25</v>
      </c>
      <c r="L59" s="53"/>
      <c r="M59" s="548">
        <v>0</v>
      </c>
      <c r="N59" s="548">
        <v>25</v>
      </c>
      <c r="O59" s="548">
        <v>0</v>
      </c>
      <c r="P59" s="131">
        <v>0</v>
      </c>
      <c r="Q59" s="131">
        <v>0</v>
      </c>
      <c r="R59" s="131">
        <v>0</v>
      </c>
      <c r="S59" s="131">
        <v>0</v>
      </c>
      <c r="T59" s="131">
        <v>0</v>
      </c>
    </row>
    <row r="60" spans="1:21" ht="11.25" hidden="1" customHeight="1" outlineLevel="1" x14ac:dyDescent="0.2">
      <c r="A60" s="44"/>
      <c r="B60" s="138">
        <v>636001</v>
      </c>
      <c r="C60" s="135" t="s">
        <v>106</v>
      </c>
      <c r="D60" s="20">
        <v>1</v>
      </c>
      <c r="E60" s="47"/>
      <c r="F60" s="56">
        <f t="shared" si="0"/>
        <v>1</v>
      </c>
      <c r="G60" s="6">
        <v>1</v>
      </c>
      <c r="H60" s="120">
        <f t="shared" si="1"/>
        <v>1</v>
      </c>
      <c r="I60" s="4">
        <v>1</v>
      </c>
      <c r="J60" s="132">
        <v>25</v>
      </c>
      <c r="L60" s="53"/>
      <c r="M60" s="547">
        <v>250</v>
      </c>
      <c r="N60" s="547">
        <v>250</v>
      </c>
      <c r="O60" s="547">
        <v>250</v>
      </c>
      <c r="P60" s="132">
        <v>250</v>
      </c>
      <c r="Q60" s="132">
        <v>250</v>
      </c>
      <c r="R60" s="132">
        <v>250</v>
      </c>
      <c r="S60" s="132">
        <v>250</v>
      </c>
      <c r="T60" s="132">
        <v>250</v>
      </c>
    </row>
    <row r="61" spans="1:21" s="70" customFormat="1" ht="12" customHeight="1" collapsed="1" x14ac:dyDescent="0.2">
      <c r="A61" s="78"/>
      <c r="B61" s="286">
        <v>637</v>
      </c>
      <c r="C61" s="269" t="s">
        <v>48</v>
      </c>
      <c r="D61" s="61"/>
      <c r="E61" s="69"/>
      <c r="F61" s="62"/>
      <c r="G61" s="64" t="e">
        <f>SUM(#REF!)</f>
        <v>#REF!</v>
      </c>
      <c r="H61" s="121" t="e">
        <f>SUM(#REF!)</f>
        <v>#REF!</v>
      </c>
      <c r="I61" s="64" t="e">
        <f>SUM(#REF!)</f>
        <v>#REF!</v>
      </c>
      <c r="J61" s="131" t="e">
        <f>#REF!+#REF!+#REF!+#REF!+#REF!+#REF!+#REF!+#REF!+#REF!+#REF!+#REF!+#REF!</f>
        <v>#REF!</v>
      </c>
      <c r="L61" s="53"/>
      <c r="M61" s="548">
        <v>23114.11</v>
      </c>
      <c r="N61" s="548" t="e">
        <f>#REF!+#REF!+#REF!+#REF!+#REF!+#REF!+#REF!+#REF!+#REF!+#REF!+#REF!+#REF!+N62</f>
        <v>#REF!</v>
      </c>
      <c r="O61" s="548">
        <v>34261.769999999997</v>
      </c>
      <c r="P61" s="131">
        <v>23950</v>
      </c>
      <c r="Q61" s="131">
        <v>31100</v>
      </c>
      <c r="R61" s="131">
        <v>31150</v>
      </c>
      <c r="S61" s="131">
        <v>31000</v>
      </c>
      <c r="T61" s="131">
        <v>29500</v>
      </c>
    </row>
    <row r="62" spans="1:21" ht="12" customHeight="1" outlineLevel="2" x14ac:dyDescent="0.2">
      <c r="A62" s="44"/>
      <c r="B62" s="445">
        <v>642</v>
      </c>
      <c r="C62" s="597" t="s">
        <v>217</v>
      </c>
      <c r="D62" s="58"/>
      <c r="E62" s="47"/>
      <c r="F62" s="58"/>
      <c r="G62" s="47"/>
      <c r="H62" s="74"/>
      <c r="I62" s="4"/>
      <c r="J62" s="132">
        <v>0</v>
      </c>
      <c r="L62" s="53"/>
      <c r="M62" s="598">
        <v>588.66</v>
      </c>
      <c r="N62" s="547">
        <v>70</v>
      </c>
      <c r="O62" s="598">
        <v>511.83</v>
      </c>
      <c r="P62" s="609">
        <v>300</v>
      </c>
      <c r="Q62" s="609">
        <v>100</v>
      </c>
      <c r="R62" s="609">
        <v>300</v>
      </c>
      <c r="S62" s="609">
        <v>50</v>
      </c>
      <c r="T62" s="609">
        <v>50</v>
      </c>
    </row>
    <row r="63" spans="1:21" ht="12" customHeight="1" outlineLevel="2" x14ac:dyDescent="0.2">
      <c r="A63" s="44"/>
      <c r="B63" s="445">
        <v>651</v>
      </c>
      <c r="C63" s="597" t="s">
        <v>218</v>
      </c>
      <c r="D63" s="58"/>
      <c r="E63" s="47"/>
      <c r="F63" s="58"/>
      <c r="G63" s="47"/>
      <c r="H63" s="74"/>
      <c r="I63" s="4"/>
      <c r="J63" s="132"/>
      <c r="L63" s="53"/>
      <c r="M63" s="598">
        <v>0</v>
      </c>
      <c r="N63" s="547"/>
      <c r="O63" s="598">
        <v>0</v>
      </c>
      <c r="P63" s="609">
        <v>600</v>
      </c>
      <c r="Q63" s="609">
        <v>0</v>
      </c>
      <c r="R63" s="609">
        <v>600</v>
      </c>
      <c r="S63" s="609">
        <v>1000</v>
      </c>
      <c r="T63" s="609">
        <v>1000</v>
      </c>
    </row>
    <row r="64" spans="1:21" ht="12" customHeight="1" outlineLevel="2" x14ac:dyDescent="0.2">
      <c r="A64" s="421" t="s">
        <v>220</v>
      </c>
      <c r="B64" s="422">
        <v>651</v>
      </c>
      <c r="C64" s="423" t="s">
        <v>219</v>
      </c>
      <c r="D64" s="424"/>
      <c r="E64" s="425"/>
      <c r="F64" s="424"/>
      <c r="G64" s="425"/>
      <c r="H64" s="426"/>
      <c r="I64" s="427"/>
      <c r="J64" s="428">
        <v>100</v>
      </c>
      <c r="K64" s="429"/>
      <c r="L64" s="430"/>
      <c r="M64" s="550">
        <v>0</v>
      </c>
      <c r="N64" s="550">
        <v>100</v>
      </c>
      <c r="O64" s="550">
        <v>84.26</v>
      </c>
      <c r="P64" s="428">
        <v>2000</v>
      </c>
      <c r="Q64" s="428">
        <v>1000</v>
      </c>
      <c r="R64" s="428">
        <v>1000</v>
      </c>
      <c r="S64" s="428">
        <v>2000</v>
      </c>
      <c r="T64" s="428">
        <v>0</v>
      </c>
      <c r="U64" s="252"/>
    </row>
    <row r="65" spans="1:21" ht="12" customHeight="1" outlineLevel="2" x14ac:dyDescent="0.2">
      <c r="A65" s="421" t="s">
        <v>222</v>
      </c>
      <c r="B65" s="422">
        <v>641</v>
      </c>
      <c r="C65" s="423" t="s">
        <v>223</v>
      </c>
      <c r="D65" s="424"/>
      <c r="E65" s="425"/>
      <c r="F65" s="424"/>
      <c r="G65" s="425"/>
      <c r="H65" s="426"/>
      <c r="I65" s="427"/>
      <c r="J65" s="428">
        <v>150</v>
      </c>
      <c r="K65" s="429"/>
      <c r="L65" s="430"/>
      <c r="M65" s="550">
        <v>10641</v>
      </c>
      <c r="N65" s="550">
        <v>150</v>
      </c>
      <c r="O65" s="550">
        <v>14194</v>
      </c>
      <c r="P65" s="428">
        <v>10000</v>
      </c>
      <c r="Q65" s="428">
        <v>5850</v>
      </c>
      <c r="R65" s="428">
        <v>10000</v>
      </c>
      <c r="S65" s="428">
        <v>10000</v>
      </c>
      <c r="T65" s="428">
        <v>10000</v>
      </c>
      <c r="U65" s="252"/>
    </row>
    <row r="66" spans="1:21" ht="12" hidden="1" customHeight="1" outlineLevel="2" x14ac:dyDescent="0.2">
      <c r="A66" s="431"/>
      <c r="B66" s="422"/>
      <c r="C66" s="423"/>
      <c r="D66" s="424"/>
      <c r="E66" s="425"/>
      <c r="F66" s="424"/>
      <c r="G66" s="425"/>
      <c r="H66" s="426"/>
      <c r="I66" s="427"/>
      <c r="J66" s="428"/>
      <c r="K66" s="429"/>
      <c r="L66" s="430"/>
      <c r="M66" s="550"/>
      <c r="N66" s="550"/>
      <c r="O66" s="550"/>
      <c r="P66" s="428"/>
      <c r="Q66" s="428"/>
      <c r="R66" s="428"/>
      <c r="S66" s="428"/>
      <c r="T66" s="428"/>
      <c r="U66" s="429"/>
    </row>
    <row r="67" spans="1:21" ht="12" customHeight="1" collapsed="1" x14ac:dyDescent="0.2">
      <c r="A67" s="432"/>
      <c r="B67" s="422"/>
      <c r="C67" s="433"/>
      <c r="D67" s="425"/>
      <c r="E67" s="425"/>
      <c r="F67" s="424"/>
      <c r="G67" s="425"/>
      <c r="H67" s="426"/>
      <c r="I67" s="333"/>
      <c r="J67" s="434">
        <v>200</v>
      </c>
      <c r="K67" s="429"/>
      <c r="L67" s="430"/>
      <c r="M67" s="550"/>
      <c r="N67" s="550">
        <v>200</v>
      </c>
      <c r="O67" s="550"/>
      <c r="P67" s="434"/>
      <c r="Q67" s="434"/>
      <c r="R67" s="434"/>
      <c r="S67" s="434"/>
      <c r="T67" s="434"/>
      <c r="U67" s="252"/>
    </row>
    <row r="68" spans="1:21" ht="12" hidden="1" customHeight="1" x14ac:dyDescent="0.2">
      <c r="A68" s="219" t="s">
        <v>12</v>
      </c>
      <c r="B68" s="220"/>
      <c r="C68" s="221"/>
      <c r="D68" s="222">
        <f>SUM(D70:D76)</f>
        <v>203</v>
      </c>
      <c r="E68" s="223">
        <f>SUM(E70:E76)</f>
        <v>0</v>
      </c>
      <c r="F68" s="224">
        <f t="shared" si="0"/>
        <v>203</v>
      </c>
      <c r="G68" s="225">
        <f>SUM(G70:G76)</f>
        <v>229</v>
      </c>
      <c r="H68" s="226">
        <f t="shared" si="1"/>
        <v>1.1280788177339902</v>
      </c>
      <c r="I68" s="225">
        <f>+I69+I74</f>
        <v>303</v>
      </c>
      <c r="J68" s="227"/>
      <c r="K68" s="228" t="s">
        <v>53</v>
      </c>
      <c r="L68" s="229"/>
      <c r="M68" s="551">
        <f>M69+M72+M74</f>
        <v>395</v>
      </c>
      <c r="N68" s="551">
        <f t="shared" ref="N68:T68" si="2">N69+N72+N74</f>
        <v>395</v>
      </c>
      <c r="O68" s="551">
        <f t="shared" si="2"/>
        <v>395</v>
      </c>
      <c r="P68" s="227">
        <f t="shared" si="2"/>
        <v>395</v>
      </c>
      <c r="Q68" s="227">
        <f t="shared" si="2"/>
        <v>336</v>
      </c>
      <c r="R68" s="227">
        <f t="shared" si="2"/>
        <v>336</v>
      </c>
      <c r="S68" s="227">
        <f t="shared" si="2"/>
        <v>336</v>
      </c>
      <c r="T68" s="227">
        <f t="shared" si="2"/>
        <v>336</v>
      </c>
    </row>
    <row r="69" spans="1:21" ht="12" hidden="1" customHeight="1" x14ac:dyDescent="0.2">
      <c r="A69" s="68"/>
      <c r="B69" s="49">
        <v>610</v>
      </c>
      <c r="C69" s="50" t="s">
        <v>80</v>
      </c>
      <c r="D69" s="51"/>
      <c r="E69" s="54"/>
      <c r="F69" s="51"/>
      <c r="G69" s="8"/>
      <c r="H69" s="47"/>
      <c r="I69" s="8">
        <f>SUM(I70:I71)</f>
        <v>68</v>
      </c>
      <c r="J69" s="131"/>
      <c r="L69" s="53"/>
      <c r="M69" s="548">
        <f>M70+M71</f>
        <v>235</v>
      </c>
      <c r="N69" s="548">
        <f t="shared" ref="N69:T69" si="3">N70+N71</f>
        <v>235</v>
      </c>
      <c r="O69" s="548">
        <f t="shared" si="3"/>
        <v>235</v>
      </c>
      <c r="P69" s="131">
        <f t="shared" si="3"/>
        <v>235</v>
      </c>
      <c r="Q69" s="131">
        <f t="shared" si="3"/>
        <v>203</v>
      </c>
      <c r="R69" s="131">
        <f t="shared" si="3"/>
        <v>203</v>
      </c>
      <c r="S69" s="131">
        <f t="shared" si="3"/>
        <v>203</v>
      </c>
      <c r="T69" s="131">
        <f t="shared" si="3"/>
        <v>203</v>
      </c>
    </row>
    <row r="70" spans="1:21" ht="12" hidden="1" customHeight="1" outlineLevel="1" x14ac:dyDescent="0.2">
      <c r="A70" s="44"/>
      <c r="B70" s="45">
        <v>611</v>
      </c>
      <c r="C70" s="11" t="s">
        <v>82</v>
      </c>
      <c r="D70" s="20">
        <v>58</v>
      </c>
      <c r="E70" s="47"/>
      <c r="F70" s="20">
        <f t="shared" si="0"/>
        <v>58</v>
      </c>
      <c r="G70" s="6">
        <v>44</v>
      </c>
      <c r="H70" s="74">
        <f t="shared" si="1"/>
        <v>0.75862068965517238</v>
      </c>
      <c r="I70" s="4">
        <f>+F70</f>
        <v>58</v>
      </c>
      <c r="J70" s="132">
        <v>150</v>
      </c>
      <c r="L70" s="53"/>
      <c r="M70" s="547">
        <v>200</v>
      </c>
      <c r="N70" s="547">
        <v>200</v>
      </c>
      <c r="O70" s="547">
        <v>200</v>
      </c>
      <c r="P70" s="132">
        <v>200</v>
      </c>
      <c r="Q70" s="132">
        <v>180</v>
      </c>
      <c r="R70" s="132">
        <v>180</v>
      </c>
      <c r="S70" s="132">
        <v>180</v>
      </c>
      <c r="T70" s="132">
        <v>180</v>
      </c>
    </row>
    <row r="71" spans="1:21" ht="12" hidden="1" customHeight="1" outlineLevel="1" x14ac:dyDescent="0.2">
      <c r="A71" s="44"/>
      <c r="B71" s="45">
        <v>614</v>
      </c>
      <c r="C71" s="11" t="s">
        <v>30</v>
      </c>
      <c r="D71" s="20">
        <v>10</v>
      </c>
      <c r="E71" s="47"/>
      <c r="F71" s="20">
        <f>+D71</f>
        <v>10</v>
      </c>
      <c r="G71" s="6">
        <v>1</v>
      </c>
      <c r="H71" s="74">
        <f>+G71/D71</f>
        <v>0.1</v>
      </c>
      <c r="I71" s="4">
        <f>+F71</f>
        <v>10</v>
      </c>
      <c r="J71" s="132">
        <v>20</v>
      </c>
      <c r="L71" s="53"/>
      <c r="M71" s="547">
        <v>35</v>
      </c>
      <c r="N71" s="547">
        <v>35</v>
      </c>
      <c r="O71" s="547">
        <v>35</v>
      </c>
      <c r="P71" s="132">
        <v>35</v>
      </c>
      <c r="Q71" s="132">
        <v>23</v>
      </c>
      <c r="R71" s="132">
        <v>23</v>
      </c>
      <c r="S71" s="132">
        <v>23</v>
      </c>
      <c r="T71" s="132">
        <v>23</v>
      </c>
    </row>
    <row r="72" spans="1:21" ht="12" hidden="1" customHeight="1" collapsed="1" x14ac:dyDescent="0.2">
      <c r="A72" s="44"/>
      <c r="B72" s="251">
        <v>620</v>
      </c>
      <c r="C72" s="60" t="s">
        <v>52</v>
      </c>
      <c r="D72" s="20"/>
      <c r="E72" s="47"/>
      <c r="F72" s="58"/>
      <c r="G72" s="47"/>
      <c r="H72" s="74"/>
      <c r="I72" s="4"/>
      <c r="J72" s="134"/>
      <c r="K72" s="217"/>
      <c r="L72" s="218"/>
      <c r="M72" s="552">
        <f t="shared" ref="M72:T72" si="4">M73</f>
        <v>80</v>
      </c>
      <c r="N72" s="552">
        <f t="shared" si="4"/>
        <v>80</v>
      </c>
      <c r="O72" s="552">
        <f t="shared" si="4"/>
        <v>80</v>
      </c>
      <c r="P72" s="134">
        <f t="shared" si="4"/>
        <v>80</v>
      </c>
      <c r="Q72" s="134">
        <f t="shared" si="4"/>
        <v>63</v>
      </c>
      <c r="R72" s="134">
        <f t="shared" si="4"/>
        <v>63</v>
      </c>
      <c r="S72" s="134">
        <f t="shared" si="4"/>
        <v>63</v>
      </c>
      <c r="T72" s="134">
        <f t="shared" si="4"/>
        <v>63</v>
      </c>
    </row>
    <row r="73" spans="1:21" ht="12" hidden="1" customHeight="1" outlineLevel="1" x14ac:dyDescent="0.2">
      <c r="A73" s="44"/>
      <c r="B73" s="45">
        <v>620</v>
      </c>
      <c r="C73" s="151" t="s">
        <v>52</v>
      </c>
      <c r="D73" s="20"/>
      <c r="E73" s="47"/>
      <c r="F73" s="58"/>
      <c r="G73" s="47"/>
      <c r="H73" s="74"/>
      <c r="I73" s="4"/>
      <c r="J73" s="132">
        <v>55</v>
      </c>
      <c r="K73" s="252"/>
      <c r="L73" s="253"/>
      <c r="M73" s="547">
        <v>80</v>
      </c>
      <c r="N73" s="547">
        <v>80</v>
      </c>
      <c r="O73" s="547">
        <v>80</v>
      </c>
      <c r="P73" s="132">
        <v>80</v>
      </c>
      <c r="Q73" s="132">
        <v>63</v>
      </c>
      <c r="R73" s="132">
        <v>63</v>
      </c>
      <c r="S73" s="132">
        <v>63</v>
      </c>
      <c r="T73" s="132">
        <v>63</v>
      </c>
    </row>
    <row r="74" spans="1:21" ht="12" hidden="1" customHeight="1" collapsed="1" x14ac:dyDescent="0.2">
      <c r="A74" s="44"/>
      <c r="B74" s="49">
        <v>637</v>
      </c>
      <c r="C74" s="69" t="s">
        <v>48</v>
      </c>
      <c r="D74" s="61"/>
      <c r="E74" s="69"/>
      <c r="F74" s="62"/>
      <c r="G74" s="69"/>
      <c r="H74" s="76"/>
      <c r="I74" s="64">
        <f>SUM(I75:I76)</f>
        <v>235</v>
      </c>
      <c r="J74" s="131"/>
      <c r="L74" s="53"/>
      <c r="M74" s="548">
        <f>M75+M76</f>
        <v>80</v>
      </c>
      <c r="N74" s="548">
        <f t="shared" ref="N74:T74" si="5">N75+N76</f>
        <v>80</v>
      </c>
      <c r="O74" s="548">
        <f t="shared" si="5"/>
        <v>80</v>
      </c>
      <c r="P74" s="131">
        <f t="shared" si="5"/>
        <v>80</v>
      </c>
      <c r="Q74" s="131">
        <f t="shared" si="5"/>
        <v>70</v>
      </c>
      <c r="R74" s="131">
        <f t="shared" si="5"/>
        <v>70</v>
      </c>
      <c r="S74" s="131">
        <f t="shared" si="5"/>
        <v>70</v>
      </c>
      <c r="T74" s="131">
        <f t="shared" si="5"/>
        <v>70</v>
      </c>
    </row>
    <row r="75" spans="1:21" ht="12" hidden="1" customHeight="1" outlineLevel="1" x14ac:dyDescent="0.2">
      <c r="A75" s="44"/>
      <c r="B75" s="10">
        <v>637005</v>
      </c>
      <c r="C75" s="11" t="s">
        <v>110</v>
      </c>
      <c r="D75" s="20">
        <v>35</v>
      </c>
      <c r="E75" s="47"/>
      <c r="F75" s="20">
        <f>+D75</f>
        <v>35</v>
      </c>
      <c r="G75" s="6">
        <v>28</v>
      </c>
      <c r="H75" s="74">
        <f>+G75/D75</f>
        <v>0.8</v>
      </c>
      <c r="I75" s="4">
        <f>+F75</f>
        <v>35</v>
      </c>
      <c r="J75" s="132"/>
      <c r="L75" s="53"/>
      <c r="M75" s="547">
        <v>50</v>
      </c>
      <c r="N75" s="547">
        <v>50</v>
      </c>
      <c r="O75" s="547">
        <v>50</v>
      </c>
      <c r="P75" s="132">
        <v>50</v>
      </c>
      <c r="Q75" s="132">
        <v>40</v>
      </c>
      <c r="R75" s="132">
        <v>40</v>
      </c>
      <c r="S75" s="132">
        <v>40</v>
      </c>
      <c r="T75" s="132">
        <v>40</v>
      </c>
    </row>
    <row r="76" spans="1:21" ht="12" hidden="1" customHeight="1" outlineLevel="1" x14ac:dyDescent="0.2">
      <c r="A76" s="44"/>
      <c r="B76" s="10">
        <v>637012</v>
      </c>
      <c r="C76" s="11" t="s">
        <v>111</v>
      </c>
      <c r="D76" s="46">
        <v>100</v>
      </c>
      <c r="E76" s="47"/>
      <c r="F76" s="20">
        <f>+D76</f>
        <v>100</v>
      </c>
      <c r="G76" s="6">
        <v>156</v>
      </c>
      <c r="H76" s="74">
        <f>+G76/D76</f>
        <v>1.56</v>
      </c>
      <c r="I76" s="4">
        <v>200</v>
      </c>
      <c r="J76" s="132"/>
      <c r="L76" s="53"/>
      <c r="M76" s="547">
        <v>30</v>
      </c>
      <c r="N76" s="547">
        <v>30</v>
      </c>
      <c r="O76" s="547">
        <v>30</v>
      </c>
      <c r="P76" s="132">
        <v>30</v>
      </c>
      <c r="Q76" s="132">
        <v>30</v>
      </c>
      <c r="R76" s="132">
        <v>30</v>
      </c>
      <c r="S76" s="132">
        <v>30</v>
      </c>
      <c r="T76" s="132">
        <v>30</v>
      </c>
    </row>
    <row r="77" spans="1:21" ht="12" hidden="1" customHeight="1" collapsed="1" x14ac:dyDescent="0.2">
      <c r="A77" s="44"/>
      <c r="B77" s="47"/>
      <c r="C77" s="47"/>
      <c r="D77" s="47"/>
      <c r="E77" s="47"/>
      <c r="F77" s="47"/>
      <c r="G77" s="47"/>
      <c r="H77" s="74"/>
      <c r="I77" s="6"/>
      <c r="J77" s="130"/>
      <c r="L77" s="53"/>
      <c r="M77" s="548"/>
      <c r="N77" s="548"/>
      <c r="O77" s="548"/>
      <c r="P77" s="130"/>
      <c r="Q77" s="130"/>
      <c r="R77" s="130"/>
      <c r="S77" s="130"/>
      <c r="T77" s="130"/>
    </row>
    <row r="78" spans="1:21" ht="12" customHeight="1" x14ac:dyDescent="0.2">
      <c r="A78" s="283" t="s">
        <v>13</v>
      </c>
      <c r="B78" s="233"/>
      <c r="C78" s="234"/>
      <c r="D78" s="222">
        <f>SUM(D80:D93)</f>
        <v>345</v>
      </c>
      <c r="E78" s="223">
        <f>SUM(E80:E93)</f>
        <v>0</v>
      </c>
      <c r="F78" s="222">
        <f>SUM(F80:F93)</f>
        <v>345</v>
      </c>
      <c r="G78" s="225">
        <f>SUM(G80:G93)</f>
        <v>287</v>
      </c>
      <c r="H78" s="226">
        <f>+G78/D78</f>
        <v>0.8318840579710145</v>
      </c>
      <c r="I78" s="225" t="e">
        <f>+I79+I84+I86+I88+#REF!+I91</f>
        <v>#REF!</v>
      </c>
      <c r="J78" s="235">
        <f>J79+J82+J84+J86+J88+J91+J92</f>
        <v>50</v>
      </c>
      <c r="K78" s="228" t="s">
        <v>53</v>
      </c>
      <c r="L78" s="229"/>
      <c r="M78" s="553">
        <f>M79+M82+M84+M86+M88+M91+M106</f>
        <v>3325.32</v>
      </c>
      <c r="N78" s="553">
        <f>N79+N82+N84+N86+N88+N91+N92</f>
        <v>49</v>
      </c>
      <c r="O78" s="553">
        <f t="shared" ref="O78:T78" si="6">O79+O82+O84+O86+O88+O91+O106</f>
        <v>3679.19</v>
      </c>
      <c r="P78" s="235">
        <f t="shared" si="6"/>
        <v>3679</v>
      </c>
      <c r="Q78" s="553">
        <f t="shared" si="6"/>
        <v>4018.51</v>
      </c>
      <c r="R78" s="235">
        <f t="shared" si="6"/>
        <v>3679</v>
      </c>
      <c r="S78" s="235">
        <f t="shared" si="6"/>
        <v>3679</v>
      </c>
      <c r="T78" s="235">
        <f t="shared" si="6"/>
        <v>3679</v>
      </c>
    </row>
    <row r="79" spans="1:21" ht="12" customHeight="1" x14ac:dyDescent="0.2">
      <c r="A79" s="78"/>
      <c r="B79" s="45">
        <v>610</v>
      </c>
      <c r="C79" s="11" t="s">
        <v>80</v>
      </c>
      <c r="D79" s="51"/>
      <c r="E79" s="54"/>
      <c r="F79" s="51"/>
      <c r="G79" s="8"/>
      <c r="H79" s="47"/>
      <c r="I79" s="8">
        <f>SUM(I80:I83)</f>
        <v>451</v>
      </c>
      <c r="J79" s="4">
        <v>20</v>
      </c>
      <c r="L79" s="53"/>
      <c r="M79" s="549">
        <v>1814</v>
      </c>
      <c r="N79" s="549">
        <v>20</v>
      </c>
      <c r="O79" s="549">
        <v>1872</v>
      </c>
      <c r="P79" s="4">
        <v>2100</v>
      </c>
      <c r="Q79" s="549">
        <v>2375</v>
      </c>
      <c r="R79" s="4">
        <v>2100</v>
      </c>
      <c r="S79" s="4">
        <v>2100</v>
      </c>
      <c r="T79" s="4">
        <v>2100</v>
      </c>
    </row>
    <row r="80" spans="1:21" ht="12" hidden="1" customHeight="1" outlineLevel="1" x14ac:dyDescent="0.2">
      <c r="A80" s="44"/>
      <c r="B80" s="45">
        <v>611</v>
      </c>
      <c r="C80" s="11" t="s">
        <v>82</v>
      </c>
      <c r="D80" s="20">
        <f>162+48</f>
        <v>210</v>
      </c>
      <c r="E80" s="47"/>
      <c r="F80" s="20">
        <f>+D80</f>
        <v>210</v>
      </c>
      <c r="G80" s="6">
        <v>154</v>
      </c>
      <c r="H80" s="74">
        <f>+G80/D80</f>
        <v>0.73333333333333328</v>
      </c>
      <c r="I80" s="4">
        <f>+F80</f>
        <v>210</v>
      </c>
      <c r="J80" s="132">
        <v>150</v>
      </c>
      <c r="K80" s="14">
        <f>169+50</f>
        <v>219</v>
      </c>
      <c r="L80" s="53"/>
      <c r="M80" s="547">
        <v>250</v>
      </c>
      <c r="N80" s="547">
        <v>250</v>
      </c>
      <c r="O80" s="547">
        <v>250</v>
      </c>
      <c r="P80" s="132">
        <v>200</v>
      </c>
      <c r="Q80" s="547">
        <v>200</v>
      </c>
      <c r="R80" s="132">
        <v>200</v>
      </c>
      <c r="S80" s="132">
        <v>200</v>
      </c>
      <c r="T80" s="132">
        <v>200</v>
      </c>
    </row>
    <row r="81" spans="1:20" ht="12" hidden="1" customHeight="1" outlineLevel="1" x14ac:dyDescent="0.2">
      <c r="A81" s="44"/>
      <c r="B81" s="45">
        <v>614</v>
      </c>
      <c r="C81" s="11" t="s">
        <v>30</v>
      </c>
      <c r="D81" s="20">
        <v>15</v>
      </c>
      <c r="E81" s="47"/>
      <c r="F81" s="20">
        <f>+D81</f>
        <v>15</v>
      </c>
      <c r="G81" s="6">
        <v>5</v>
      </c>
      <c r="H81" s="74">
        <f>+G81/D81</f>
        <v>0.33333333333333331</v>
      </c>
      <c r="I81" s="4">
        <f>+F81</f>
        <v>15</v>
      </c>
      <c r="J81" s="132">
        <v>100</v>
      </c>
      <c r="L81" s="53"/>
      <c r="M81" s="547">
        <v>130</v>
      </c>
      <c r="N81" s="547">
        <v>130</v>
      </c>
      <c r="O81" s="547">
        <v>130</v>
      </c>
      <c r="P81" s="132">
        <v>120</v>
      </c>
      <c r="Q81" s="547">
        <v>120</v>
      </c>
      <c r="R81" s="132">
        <v>120</v>
      </c>
      <c r="S81" s="132">
        <v>120</v>
      </c>
      <c r="T81" s="132">
        <v>120</v>
      </c>
    </row>
    <row r="82" spans="1:20" ht="12" customHeight="1" collapsed="1" x14ac:dyDescent="0.2">
      <c r="A82" s="44"/>
      <c r="B82" s="10">
        <v>620</v>
      </c>
      <c r="C82" s="81" t="s">
        <v>52</v>
      </c>
      <c r="D82" s="61"/>
      <c r="E82" s="62"/>
      <c r="F82" s="63"/>
      <c r="G82" s="64">
        <f>SUM(G83:G90)</f>
        <v>63</v>
      </c>
      <c r="H82" s="121">
        <f>SUM(H83:H90)</f>
        <v>1.0058823529411764</v>
      </c>
      <c r="I82" s="64">
        <f>SUM(I83:I90)</f>
        <v>141</v>
      </c>
      <c r="J82" s="4">
        <v>9</v>
      </c>
      <c r="L82" s="53"/>
      <c r="M82" s="549">
        <v>633.21</v>
      </c>
      <c r="N82" s="549">
        <v>9</v>
      </c>
      <c r="O82" s="549">
        <v>654.26</v>
      </c>
      <c r="P82" s="4">
        <v>734</v>
      </c>
      <c r="Q82" s="549">
        <v>830</v>
      </c>
      <c r="R82" s="4">
        <v>734</v>
      </c>
      <c r="S82" s="4">
        <v>734</v>
      </c>
      <c r="T82" s="4">
        <v>734</v>
      </c>
    </row>
    <row r="83" spans="1:20" ht="12" hidden="1" customHeight="1" outlineLevel="1" x14ac:dyDescent="0.2">
      <c r="A83" s="44"/>
      <c r="B83" s="45">
        <v>620</v>
      </c>
      <c r="C83" s="81" t="s">
        <v>52</v>
      </c>
      <c r="D83" s="20">
        <v>85</v>
      </c>
      <c r="E83" s="47"/>
      <c r="F83" s="20">
        <f t="shared" ref="F83:F93" si="7">+D83</f>
        <v>85</v>
      </c>
      <c r="G83" s="6">
        <v>60</v>
      </c>
      <c r="H83" s="74">
        <f>+G83/D83</f>
        <v>0.70588235294117652</v>
      </c>
      <c r="I83" s="4">
        <f>+F83</f>
        <v>85</v>
      </c>
      <c r="J83" s="132">
        <v>120</v>
      </c>
      <c r="L83" s="53"/>
      <c r="M83" s="547">
        <v>140</v>
      </c>
      <c r="N83" s="547">
        <v>140</v>
      </c>
      <c r="O83" s="547">
        <v>140</v>
      </c>
      <c r="P83" s="132">
        <v>130</v>
      </c>
      <c r="Q83" s="547">
        <v>130</v>
      </c>
      <c r="R83" s="132">
        <v>130</v>
      </c>
      <c r="S83" s="132">
        <v>130</v>
      </c>
      <c r="T83" s="132">
        <v>130</v>
      </c>
    </row>
    <row r="84" spans="1:20" ht="12" customHeight="1" collapsed="1" x14ac:dyDescent="0.2">
      <c r="A84" s="44"/>
      <c r="B84" s="45">
        <v>632</v>
      </c>
      <c r="C84" s="11" t="s">
        <v>45</v>
      </c>
      <c r="D84" s="61"/>
      <c r="E84" s="69"/>
      <c r="F84" s="61"/>
      <c r="G84" s="72"/>
      <c r="H84" s="76"/>
      <c r="I84" s="64">
        <f>+I85</f>
        <v>12</v>
      </c>
      <c r="J84" s="4">
        <v>10</v>
      </c>
      <c r="L84" s="53"/>
      <c r="M84" s="549">
        <v>540</v>
      </c>
      <c r="N84" s="549">
        <v>11</v>
      </c>
      <c r="O84" s="549">
        <v>580</v>
      </c>
      <c r="P84" s="4">
        <v>540</v>
      </c>
      <c r="Q84" s="549">
        <v>550</v>
      </c>
      <c r="R84" s="4">
        <v>540</v>
      </c>
      <c r="S84" s="4">
        <v>540</v>
      </c>
      <c r="T84" s="4">
        <v>540</v>
      </c>
    </row>
    <row r="85" spans="1:20" ht="12" hidden="1" customHeight="1" outlineLevel="1" x14ac:dyDescent="0.2">
      <c r="A85" s="44"/>
      <c r="B85" s="10">
        <v>632003</v>
      </c>
      <c r="C85" s="11" t="s">
        <v>115</v>
      </c>
      <c r="D85" s="20">
        <v>12</v>
      </c>
      <c r="E85" s="47"/>
      <c r="F85" s="20">
        <f t="shared" si="7"/>
        <v>12</v>
      </c>
      <c r="G85" s="6">
        <v>0</v>
      </c>
      <c r="H85" s="74">
        <f>+G85/D85</f>
        <v>0</v>
      </c>
      <c r="I85" s="4">
        <f>+F85</f>
        <v>12</v>
      </c>
      <c r="J85" s="132">
        <v>10</v>
      </c>
      <c r="L85" s="53"/>
      <c r="M85" s="547">
        <v>20</v>
      </c>
      <c r="N85" s="547">
        <v>20</v>
      </c>
      <c r="O85" s="547">
        <v>20</v>
      </c>
      <c r="P85" s="132">
        <v>15</v>
      </c>
      <c r="Q85" s="547">
        <v>15</v>
      </c>
      <c r="R85" s="132">
        <v>15</v>
      </c>
      <c r="S85" s="132">
        <v>15</v>
      </c>
      <c r="T85" s="132">
        <v>15</v>
      </c>
    </row>
    <row r="86" spans="1:20" ht="12" customHeight="1" collapsed="1" x14ac:dyDescent="0.2">
      <c r="A86" s="44"/>
      <c r="B86" s="45">
        <v>633</v>
      </c>
      <c r="C86" s="47" t="s">
        <v>46</v>
      </c>
      <c r="D86" s="61"/>
      <c r="E86" s="69"/>
      <c r="F86" s="61">
        <f t="shared" si="7"/>
        <v>0</v>
      </c>
      <c r="G86" s="72"/>
      <c r="H86" s="76"/>
      <c r="I86" s="64">
        <f>+I87</f>
        <v>10</v>
      </c>
      <c r="J86" s="4">
        <v>4</v>
      </c>
      <c r="L86" s="53"/>
      <c r="M86" s="549">
        <v>77.59</v>
      </c>
      <c r="N86" s="549">
        <v>4</v>
      </c>
      <c r="O86" s="549">
        <v>190.59</v>
      </c>
      <c r="P86" s="4">
        <v>160</v>
      </c>
      <c r="Q86" s="549">
        <v>133.51</v>
      </c>
      <c r="R86" s="4">
        <v>160</v>
      </c>
      <c r="S86" s="4">
        <v>160</v>
      </c>
      <c r="T86" s="4">
        <v>160</v>
      </c>
    </row>
    <row r="87" spans="1:20" ht="12" hidden="1" customHeight="1" outlineLevel="1" x14ac:dyDescent="0.2">
      <c r="A87" s="44"/>
      <c r="B87" s="10">
        <v>633006</v>
      </c>
      <c r="C87" s="11" t="s">
        <v>98</v>
      </c>
      <c r="D87" s="20">
        <v>10</v>
      </c>
      <c r="E87" s="47"/>
      <c r="F87" s="20">
        <f t="shared" si="7"/>
        <v>10</v>
      </c>
      <c r="G87" s="6">
        <v>3</v>
      </c>
      <c r="H87" s="74">
        <f>+G87/D87</f>
        <v>0.3</v>
      </c>
      <c r="I87" s="4">
        <f>+F87</f>
        <v>10</v>
      </c>
      <c r="J87" s="132">
        <v>20</v>
      </c>
      <c r="L87" s="53"/>
      <c r="M87" s="547">
        <v>30</v>
      </c>
      <c r="N87" s="547">
        <v>30</v>
      </c>
      <c r="O87" s="547">
        <v>30</v>
      </c>
      <c r="P87" s="132">
        <v>25</v>
      </c>
      <c r="Q87" s="547">
        <v>25</v>
      </c>
      <c r="R87" s="132">
        <v>25</v>
      </c>
      <c r="S87" s="132">
        <v>25</v>
      </c>
      <c r="T87" s="132">
        <v>25</v>
      </c>
    </row>
    <row r="88" spans="1:20" ht="12" customHeight="1" collapsed="1" x14ac:dyDescent="0.2">
      <c r="A88" s="44"/>
      <c r="B88" s="45">
        <v>635</v>
      </c>
      <c r="C88" s="47" t="s">
        <v>47</v>
      </c>
      <c r="D88" s="71"/>
      <c r="E88" s="69"/>
      <c r="F88" s="62"/>
      <c r="G88" s="69"/>
      <c r="H88" s="76"/>
      <c r="I88" s="64">
        <f>+I89</f>
        <v>4</v>
      </c>
      <c r="J88" s="4">
        <f>J89+J90</f>
        <v>0</v>
      </c>
      <c r="L88" s="53"/>
      <c r="M88" s="549">
        <v>82.14</v>
      </c>
      <c r="N88" s="549">
        <v>0</v>
      </c>
      <c r="O88" s="549">
        <v>82.14</v>
      </c>
      <c r="P88" s="4">
        <v>20</v>
      </c>
      <c r="Q88" s="549">
        <v>20</v>
      </c>
      <c r="R88" s="4">
        <v>20</v>
      </c>
      <c r="S88" s="4">
        <v>20</v>
      </c>
      <c r="T88" s="4">
        <v>20</v>
      </c>
    </row>
    <row r="89" spans="1:20" ht="12" hidden="1" customHeight="1" outlineLevel="1" x14ac:dyDescent="0.2">
      <c r="A89" s="44"/>
      <c r="B89" s="10">
        <v>635002</v>
      </c>
      <c r="C89" s="11" t="s">
        <v>105</v>
      </c>
      <c r="D89" s="20">
        <v>4</v>
      </c>
      <c r="E89" s="47"/>
      <c r="F89" s="20">
        <f t="shared" si="7"/>
        <v>4</v>
      </c>
      <c r="G89" s="6">
        <v>0</v>
      </c>
      <c r="H89" s="74">
        <f>+G89/D89</f>
        <v>0</v>
      </c>
      <c r="I89" s="4">
        <f>+F89</f>
        <v>4</v>
      </c>
      <c r="J89" s="132">
        <v>0</v>
      </c>
      <c r="L89" s="53"/>
      <c r="M89" s="547">
        <v>40</v>
      </c>
      <c r="N89" s="547">
        <v>40</v>
      </c>
      <c r="O89" s="547">
        <v>40</v>
      </c>
      <c r="P89" s="132">
        <v>30</v>
      </c>
      <c r="Q89" s="547">
        <v>30</v>
      </c>
      <c r="R89" s="132">
        <v>30</v>
      </c>
      <c r="S89" s="132">
        <v>30</v>
      </c>
      <c r="T89" s="132">
        <v>30</v>
      </c>
    </row>
    <row r="90" spans="1:20" ht="12" hidden="1" customHeight="1" outlineLevel="1" x14ac:dyDescent="0.2">
      <c r="A90" s="44"/>
      <c r="B90" s="10">
        <v>635003</v>
      </c>
      <c r="C90" s="11" t="s">
        <v>116</v>
      </c>
      <c r="D90" s="20">
        <v>4</v>
      </c>
      <c r="E90" s="47"/>
      <c r="F90" s="20">
        <f t="shared" si="7"/>
        <v>4</v>
      </c>
      <c r="G90" s="6">
        <v>0</v>
      </c>
      <c r="H90" s="74">
        <f>+G90/D90</f>
        <v>0</v>
      </c>
      <c r="I90" s="4">
        <f>+F90</f>
        <v>4</v>
      </c>
      <c r="J90" s="132">
        <v>0</v>
      </c>
      <c r="L90" s="53"/>
      <c r="M90" s="547">
        <v>50</v>
      </c>
      <c r="N90" s="547">
        <v>50</v>
      </c>
      <c r="O90" s="547">
        <v>50</v>
      </c>
      <c r="P90" s="132">
        <v>40</v>
      </c>
      <c r="Q90" s="547">
        <v>40</v>
      </c>
      <c r="R90" s="132">
        <v>40</v>
      </c>
      <c r="S90" s="132">
        <v>40</v>
      </c>
      <c r="T90" s="132">
        <v>40</v>
      </c>
    </row>
    <row r="91" spans="1:20" ht="12" customHeight="1" collapsed="1" x14ac:dyDescent="0.2">
      <c r="A91" s="44"/>
      <c r="B91" s="45">
        <v>637</v>
      </c>
      <c r="C91" s="47" t="s">
        <v>196</v>
      </c>
      <c r="D91" s="61"/>
      <c r="E91" s="69"/>
      <c r="F91" s="62"/>
      <c r="G91" s="69"/>
      <c r="H91" s="76"/>
      <c r="I91" s="64">
        <f>+I92+I93</f>
        <v>7</v>
      </c>
      <c r="J91" s="4">
        <v>3</v>
      </c>
      <c r="L91" s="53"/>
      <c r="M91" s="549">
        <v>163.58000000000001</v>
      </c>
      <c r="N91" s="549">
        <v>2</v>
      </c>
      <c r="O91" s="549">
        <v>290.10000000000002</v>
      </c>
      <c r="P91" s="4">
        <v>100</v>
      </c>
      <c r="Q91" s="549">
        <v>100</v>
      </c>
      <c r="R91" s="4">
        <v>100</v>
      </c>
      <c r="S91" s="4">
        <v>100</v>
      </c>
      <c r="T91" s="4">
        <v>100</v>
      </c>
    </row>
    <row r="92" spans="1:20" ht="12" hidden="1" customHeight="1" outlineLevel="1" x14ac:dyDescent="0.2">
      <c r="A92" s="44"/>
      <c r="B92" s="10">
        <v>637001</v>
      </c>
      <c r="C92" s="11" t="s">
        <v>213</v>
      </c>
      <c r="D92" s="20"/>
      <c r="E92" s="47"/>
      <c r="F92" s="20">
        <f t="shared" si="7"/>
        <v>0</v>
      </c>
      <c r="G92" s="6">
        <v>2</v>
      </c>
      <c r="H92" s="74"/>
      <c r="I92" s="4">
        <v>2</v>
      </c>
      <c r="J92" s="132">
        <v>4</v>
      </c>
      <c r="L92" s="53"/>
      <c r="M92" s="547">
        <v>8</v>
      </c>
      <c r="N92" s="547">
        <v>3</v>
      </c>
      <c r="O92" s="547">
        <v>8</v>
      </c>
      <c r="P92" s="132">
        <v>8</v>
      </c>
      <c r="Q92" s="547">
        <v>8</v>
      </c>
      <c r="R92" s="132">
        <v>8</v>
      </c>
      <c r="S92" s="132">
        <v>8</v>
      </c>
      <c r="T92" s="132">
        <v>8</v>
      </c>
    </row>
    <row r="93" spans="1:20" ht="12" hidden="1" customHeight="1" outlineLevel="1" x14ac:dyDescent="0.2">
      <c r="A93" s="44"/>
      <c r="B93" s="10">
        <v>637026</v>
      </c>
      <c r="C93" s="11" t="s">
        <v>113</v>
      </c>
      <c r="D93" s="20">
        <v>5</v>
      </c>
      <c r="E93" s="47"/>
      <c r="F93" s="20">
        <f t="shared" si="7"/>
        <v>5</v>
      </c>
      <c r="G93" s="6">
        <v>0</v>
      </c>
      <c r="H93" s="74">
        <f>+G93/D93</f>
        <v>0</v>
      </c>
      <c r="I93" s="4">
        <v>5</v>
      </c>
      <c r="J93" s="132"/>
      <c r="L93" s="53"/>
      <c r="M93" s="547">
        <v>40</v>
      </c>
      <c r="N93" s="547">
        <v>40</v>
      </c>
      <c r="O93" s="547">
        <v>40</v>
      </c>
      <c r="P93" s="132">
        <v>0</v>
      </c>
      <c r="Q93" s="547">
        <v>0</v>
      </c>
      <c r="R93" s="132">
        <v>0</v>
      </c>
      <c r="S93" s="132">
        <v>0</v>
      </c>
      <c r="T93" s="132">
        <v>0</v>
      </c>
    </row>
    <row r="94" spans="1:20" ht="12" hidden="1" customHeight="1" collapsed="1" x14ac:dyDescent="0.2">
      <c r="A94" s="44"/>
      <c r="B94" s="10"/>
      <c r="C94" s="11"/>
      <c r="D94" s="58"/>
      <c r="E94" s="47"/>
      <c r="F94" s="58"/>
      <c r="G94" s="47"/>
      <c r="H94" s="74"/>
      <c r="I94" s="4"/>
      <c r="J94" s="131"/>
      <c r="L94" s="53"/>
      <c r="M94" s="548"/>
      <c r="N94" s="548"/>
      <c r="O94" s="548"/>
      <c r="P94" s="131"/>
      <c r="Q94" s="548"/>
      <c r="R94" s="131"/>
      <c r="S94" s="131"/>
      <c r="T94" s="131"/>
    </row>
    <row r="95" spans="1:20" ht="12" hidden="1" customHeight="1" x14ac:dyDescent="0.2">
      <c r="A95" s="236" t="s">
        <v>132</v>
      </c>
      <c r="B95" s="237"/>
      <c r="C95" s="238"/>
      <c r="D95" s="222">
        <f>+D97+D98</f>
        <v>1193</v>
      </c>
      <c r="E95" s="223">
        <f>+E97+E98</f>
        <v>0</v>
      </c>
      <c r="F95" s="222">
        <f>+F97+F98</f>
        <v>1193</v>
      </c>
      <c r="G95" s="222">
        <f>+G96</f>
        <v>914</v>
      </c>
      <c r="H95" s="223">
        <f>+H96</f>
        <v>1.5393827323559197</v>
      </c>
      <c r="I95" s="225">
        <f>+I96</f>
        <v>1218</v>
      </c>
      <c r="J95" s="227">
        <f>J96+J100</f>
        <v>0</v>
      </c>
      <c r="K95" s="228" t="s">
        <v>61</v>
      </c>
      <c r="L95" s="229"/>
      <c r="M95" s="551">
        <f>M96+M100</f>
        <v>1500</v>
      </c>
      <c r="N95" s="551">
        <f t="shared" ref="N95:T95" si="8">N96+N100</f>
        <v>1500</v>
      </c>
      <c r="O95" s="551">
        <f t="shared" si="8"/>
        <v>1500</v>
      </c>
      <c r="P95" s="227">
        <f>P96+P100</f>
        <v>1350</v>
      </c>
      <c r="Q95" s="551">
        <f t="shared" si="8"/>
        <v>1350</v>
      </c>
      <c r="R95" s="227">
        <f t="shared" si="8"/>
        <v>1350</v>
      </c>
      <c r="S95" s="227">
        <f t="shared" si="8"/>
        <v>1350</v>
      </c>
      <c r="T95" s="227">
        <f t="shared" si="8"/>
        <v>1350</v>
      </c>
    </row>
    <row r="96" spans="1:20" s="70" customFormat="1" ht="12" hidden="1" customHeight="1" x14ac:dyDescent="0.2">
      <c r="A96" s="79"/>
      <c r="B96" s="49">
        <v>651</v>
      </c>
      <c r="C96" s="50" t="s">
        <v>49</v>
      </c>
      <c r="D96" s="61"/>
      <c r="E96" s="62"/>
      <c r="F96" s="61"/>
      <c r="G96" s="61">
        <f>SUM(G97:G100)</f>
        <v>914</v>
      </c>
      <c r="H96" s="63">
        <f>SUM(H97:H100)</f>
        <v>1.5393827323559197</v>
      </c>
      <c r="I96" s="64">
        <f>SUM(I97:I100)</f>
        <v>1218</v>
      </c>
      <c r="J96" s="131">
        <v>0</v>
      </c>
      <c r="L96" s="53"/>
      <c r="M96" s="548">
        <f>M97+M98+M99</f>
        <v>1350</v>
      </c>
      <c r="N96" s="548">
        <f t="shared" ref="N96:T96" si="9">N97+N98+N99</f>
        <v>1350</v>
      </c>
      <c r="O96" s="548">
        <f t="shared" si="9"/>
        <v>1350</v>
      </c>
      <c r="P96" s="131">
        <f>P97+P98+P99</f>
        <v>1200</v>
      </c>
      <c r="Q96" s="548">
        <f t="shared" si="9"/>
        <v>1200</v>
      </c>
      <c r="R96" s="131">
        <f t="shared" si="9"/>
        <v>1200</v>
      </c>
      <c r="S96" s="131">
        <f t="shared" si="9"/>
        <v>1200</v>
      </c>
      <c r="T96" s="131">
        <f t="shared" si="9"/>
        <v>1200</v>
      </c>
    </row>
    <row r="97" spans="1:20" ht="12" hidden="1" customHeight="1" outlineLevel="1" x14ac:dyDescent="0.2">
      <c r="A97" s="44"/>
      <c r="B97" s="10" t="s">
        <v>165</v>
      </c>
      <c r="C97" s="11" t="s">
        <v>118</v>
      </c>
      <c r="D97" s="20">
        <v>402</v>
      </c>
      <c r="E97" s="47"/>
      <c r="F97" s="20">
        <f>+D97</f>
        <v>402</v>
      </c>
      <c r="G97" s="6">
        <v>320</v>
      </c>
      <c r="H97" s="74">
        <f>+G97/D97</f>
        <v>0.79601990049751248</v>
      </c>
      <c r="I97" s="4">
        <f>+F97</f>
        <v>402</v>
      </c>
      <c r="J97" s="4">
        <v>250</v>
      </c>
      <c r="L97" s="53"/>
      <c r="M97" s="549">
        <v>350</v>
      </c>
      <c r="N97" s="549">
        <v>350</v>
      </c>
      <c r="O97" s="549">
        <v>350</v>
      </c>
      <c r="P97" s="4">
        <v>300</v>
      </c>
      <c r="Q97" s="549">
        <v>300</v>
      </c>
      <c r="R97" s="4">
        <v>300</v>
      </c>
      <c r="S97" s="4">
        <v>300</v>
      </c>
      <c r="T97" s="4">
        <v>300</v>
      </c>
    </row>
    <row r="98" spans="1:20" ht="12" hidden="1" customHeight="1" outlineLevel="1" x14ac:dyDescent="0.2">
      <c r="A98" s="44"/>
      <c r="B98" s="10" t="s">
        <v>166</v>
      </c>
      <c r="C98" s="11" t="s">
        <v>118</v>
      </c>
      <c r="D98" s="20">
        <v>791</v>
      </c>
      <c r="E98" s="47"/>
      <c r="F98" s="20">
        <f>+D98</f>
        <v>791</v>
      </c>
      <c r="G98" s="6">
        <v>588</v>
      </c>
      <c r="H98" s="74">
        <f>+G98/D98</f>
        <v>0.74336283185840712</v>
      </c>
      <c r="I98" s="4">
        <f>+F98</f>
        <v>791</v>
      </c>
      <c r="J98" s="4">
        <v>350</v>
      </c>
      <c r="L98" s="80">
        <v>4.2999999999999997E-2</v>
      </c>
      <c r="M98" s="549">
        <v>450</v>
      </c>
      <c r="N98" s="549">
        <v>450</v>
      </c>
      <c r="O98" s="549">
        <v>450</v>
      </c>
      <c r="P98" s="4">
        <v>400</v>
      </c>
      <c r="Q98" s="549">
        <v>400</v>
      </c>
      <c r="R98" s="4">
        <v>400</v>
      </c>
      <c r="S98" s="4">
        <v>400</v>
      </c>
      <c r="T98" s="4">
        <v>400</v>
      </c>
    </row>
    <row r="99" spans="1:20" ht="12" hidden="1" customHeight="1" outlineLevel="1" x14ac:dyDescent="0.2">
      <c r="A99" s="44"/>
      <c r="B99" s="10" t="s">
        <v>167</v>
      </c>
      <c r="C99" s="11" t="s">
        <v>118</v>
      </c>
      <c r="D99" s="20"/>
      <c r="E99" s="47"/>
      <c r="F99" s="20"/>
      <c r="G99" s="6"/>
      <c r="H99" s="74"/>
      <c r="I99" s="4">
        <v>0</v>
      </c>
      <c r="J99" s="4">
        <v>450</v>
      </c>
      <c r="L99" s="53"/>
      <c r="M99" s="549">
        <v>550</v>
      </c>
      <c r="N99" s="549">
        <v>550</v>
      </c>
      <c r="O99" s="549">
        <v>550</v>
      </c>
      <c r="P99" s="4">
        <v>500</v>
      </c>
      <c r="Q99" s="549">
        <v>500</v>
      </c>
      <c r="R99" s="4">
        <v>500</v>
      </c>
      <c r="S99" s="4">
        <v>500</v>
      </c>
      <c r="T99" s="4">
        <v>500</v>
      </c>
    </row>
    <row r="100" spans="1:20" ht="12" hidden="1" customHeight="1" collapsed="1" x14ac:dyDescent="0.2">
      <c r="A100" s="44"/>
      <c r="B100" s="258">
        <v>651003</v>
      </c>
      <c r="C100" s="254" t="s">
        <v>117</v>
      </c>
      <c r="D100" s="255"/>
      <c r="E100" s="256"/>
      <c r="F100" s="255">
        <f>+D100</f>
        <v>0</v>
      </c>
      <c r="G100" s="129">
        <v>6</v>
      </c>
      <c r="H100" s="257"/>
      <c r="I100" s="134">
        <f>6+19</f>
        <v>25</v>
      </c>
      <c r="J100" s="134">
        <v>0</v>
      </c>
      <c r="K100" s="217"/>
      <c r="L100" s="218"/>
      <c r="M100" s="552">
        <v>150</v>
      </c>
      <c r="N100" s="552">
        <v>150</v>
      </c>
      <c r="O100" s="552">
        <v>150</v>
      </c>
      <c r="P100" s="134">
        <v>150</v>
      </c>
      <c r="Q100" s="552">
        <v>150</v>
      </c>
      <c r="R100" s="134">
        <v>150</v>
      </c>
      <c r="S100" s="134">
        <v>150</v>
      </c>
      <c r="T100" s="134">
        <v>150</v>
      </c>
    </row>
    <row r="101" spans="1:20" ht="12" hidden="1" customHeight="1" x14ac:dyDescent="0.2">
      <c r="A101" s="44"/>
      <c r="B101" s="45"/>
      <c r="C101" s="11"/>
      <c r="D101" s="58"/>
      <c r="E101" s="47"/>
      <c r="F101" s="58"/>
      <c r="G101" s="47"/>
      <c r="H101" s="74"/>
      <c r="I101" s="4"/>
      <c r="J101" s="4"/>
      <c r="L101" s="53"/>
      <c r="M101" s="549"/>
      <c r="N101" s="549"/>
      <c r="O101" s="549"/>
      <c r="P101" s="4"/>
      <c r="Q101" s="549"/>
      <c r="R101" s="4"/>
      <c r="S101" s="4"/>
      <c r="T101" s="4"/>
    </row>
    <row r="102" spans="1:20" ht="12" hidden="1" customHeight="1" x14ac:dyDescent="0.2">
      <c r="A102" s="219" t="s">
        <v>14</v>
      </c>
      <c r="B102" s="220"/>
      <c r="C102" s="238"/>
      <c r="D102" s="222">
        <f>+D104</f>
        <v>4</v>
      </c>
      <c r="E102" s="223">
        <f>+E104</f>
        <v>0</v>
      </c>
      <c r="F102" s="222">
        <f>+F104</f>
        <v>4</v>
      </c>
      <c r="G102" s="225">
        <f>+G104</f>
        <v>0</v>
      </c>
      <c r="H102" s="226">
        <f>+G102/D102</f>
        <v>0</v>
      </c>
      <c r="I102" s="225">
        <f>+I104</f>
        <v>4</v>
      </c>
      <c r="J102" s="225">
        <f>J103</f>
        <v>0</v>
      </c>
      <c r="K102" s="228" t="s">
        <v>53</v>
      </c>
      <c r="L102" s="229"/>
      <c r="M102" s="545">
        <f t="shared" ref="M102:T103" si="10">M103</f>
        <v>70</v>
      </c>
      <c r="N102" s="545">
        <f t="shared" si="10"/>
        <v>70</v>
      </c>
      <c r="O102" s="545">
        <f t="shared" si="10"/>
        <v>70</v>
      </c>
      <c r="P102" s="225">
        <f t="shared" si="10"/>
        <v>60</v>
      </c>
      <c r="Q102" s="545">
        <f t="shared" si="10"/>
        <v>60</v>
      </c>
      <c r="R102" s="225">
        <f t="shared" si="10"/>
        <v>60</v>
      </c>
      <c r="S102" s="225">
        <f t="shared" si="10"/>
        <v>60</v>
      </c>
      <c r="T102" s="225">
        <f t="shared" si="10"/>
        <v>60</v>
      </c>
    </row>
    <row r="103" spans="1:20" s="70" customFormat="1" ht="12" hidden="1" customHeight="1" x14ac:dyDescent="0.2">
      <c r="A103" s="68"/>
      <c r="B103" s="49">
        <v>637</v>
      </c>
      <c r="C103" s="50" t="s">
        <v>48</v>
      </c>
      <c r="D103" s="61"/>
      <c r="E103" s="62"/>
      <c r="F103" s="61"/>
      <c r="G103" s="64"/>
      <c r="H103" s="76"/>
      <c r="I103" s="64">
        <f>+I104</f>
        <v>4</v>
      </c>
      <c r="J103" s="131">
        <v>0</v>
      </c>
      <c r="L103" s="53"/>
      <c r="M103" s="548">
        <f t="shared" si="10"/>
        <v>70</v>
      </c>
      <c r="N103" s="548">
        <f t="shared" si="10"/>
        <v>70</v>
      </c>
      <c r="O103" s="548">
        <f t="shared" si="10"/>
        <v>70</v>
      </c>
      <c r="P103" s="131">
        <f t="shared" si="10"/>
        <v>60</v>
      </c>
      <c r="Q103" s="548">
        <f t="shared" si="10"/>
        <v>60</v>
      </c>
      <c r="R103" s="131">
        <f t="shared" si="10"/>
        <v>60</v>
      </c>
      <c r="S103" s="131">
        <f t="shared" si="10"/>
        <v>60</v>
      </c>
      <c r="T103" s="131">
        <f t="shared" si="10"/>
        <v>60</v>
      </c>
    </row>
    <row r="104" spans="1:20" ht="12" hidden="1" customHeight="1" outlineLevel="1" x14ac:dyDescent="0.2">
      <c r="A104" s="44"/>
      <c r="B104" s="10">
        <v>637026</v>
      </c>
      <c r="C104" s="11" t="s">
        <v>113</v>
      </c>
      <c r="D104" s="20">
        <v>4</v>
      </c>
      <c r="E104" s="47"/>
      <c r="F104" s="20">
        <f>+D104</f>
        <v>4</v>
      </c>
      <c r="G104" s="6">
        <v>0</v>
      </c>
      <c r="H104" s="74">
        <f>+G104/D104</f>
        <v>0</v>
      </c>
      <c r="I104" s="4">
        <v>4</v>
      </c>
      <c r="J104" s="4">
        <v>0</v>
      </c>
      <c r="L104" s="53"/>
      <c r="M104" s="549">
        <v>70</v>
      </c>
      <c r="N104" s="549">
        <v>70</v>
      </c>
      <c r="O104" s="549">
        <v>70</v>
      </c>
      <c r="P104" s="4">
        <v>60</v>
      </c>
      <c r="Q104" s="549">
        <v>60</v>
      </c>
      <c r="R104" s="4">
        <v>60</v>
      </c>
      <c r="S104" s="4">
        <v>60</v>
      </c>
      <c r="T104" s="4">
        <v>60</v>
      </c>
    </row>
    <row r="105" spans="1:20" ht="12" hidden="1" customHeight="1" collapsed="1" x14ac:dyDescent="0.2">
      <c r="A105" s="44"/>
      <c r="B105" s="47"/>
      <c r="C105" s="47"/>
      <c r="D105" s="47"/>
      <c r="E105" s="47"/>
      <c r="F105" s="47"/>
      <c r="G105" s="47"/>
      <c r="H105" s="74"/>
      <c r="I105" s="6"/>
      <c r="J105" s="6"/>
      <c r="L105" s="53"/>
      <c r="M105" s="549"/>
      <c r="N105" s="549"/>
      <c r="O105" s="549"/>
      <c r="P105" s="6"/>
      <c r="Q105" s="549"/>
      <c r="R105" s="6"/>
      <c r="S105" s="6"/>
      <c r="T105" s="6"/>
    </row>
    <row r="106" spans="1:20" ht="12" customHeight="1" x14ac:dyDescent="0.2">
      <c r="A106" s="55"/>
      <c r="B106" s="45">
        <v>631</v>
      </c>
      <c r="C106" s="47" t="s">
        <v>44</v>
      </c>
      <c r="D106" s="47"/>
      <c r="E106" s="47"/>
      <c r="F106" s="47"/>
      <c r="G106" s="47"/>
      <c r="H106" s="74"/>
      <c r="I106" s="6"/>
      <c r="J106" s="6"/>
      <c r="L106" s="53"/>
      <c r="M106" s="549">
        <v>14.8</v>
      </c>
      <c r="N106" s="549"/>
      <c r="O106" s="549">
        <v>10.1</v>
      </c>
      <c r="P106" s="6">
        <v>25</v>
      </c>
      <c r="Q106" s="549">
        <v>10</v>
      </c>
      <c r="R106" s="6">
        <v>25</v>
      </c>
      <c r="S106" s="6">
        <v>25</v>
      </c>
      <c r="T106" s="6">
        <v>25</v>
      </c>
    </row>
    <row r="107" spans="1:20" ht="12" customHeight="1" x14ac:dyDescent="0.2">
      <c r="A107" s="283" t="s">
        <v>214</v>
      </c>
      <c r="B107" s="233"/>
      <c r="C107" s="234"/>
      <c r="D107" s="222">
        <f>SUM(D113:D134)</f>
        <v>647</v>
      </c>
      <c r="E107" s="223">
        <f>SUM(E113:E135)</f>
        <v>0</v>
      </c>
      <c r="F107" s="222">
        <f>SUM(F113:F134)</f>
        <v>647</v>
      </c>
      <c r="G107" s="222">
        <f>+G112+G114+G118+G121+G125+G131</f>
        <v>98</v>
      </c>
      <c r="H107" s="223">
        <f>+H112+H114+H118+H121+H125+H131</f>
        <v>4.3083333333333336</v>
      </c>
      <c r="I107" s="225">
        <f>+I112+I114+I118+I121+I125+I131</f>
        <v>175</v>
      </c>
      <c r="J107" s="227">
        <f>J112+J114+J118+J121++J124+J125</f>
        <v>190</v>
      </c>
      <c r="K107" s="228" t="s">
        <v>53</v>
      </c>
      <c r="L107" s="229"/>
      <c r="M107" s="551">
        <v>626.91999999999996</v>
      </c>
      <c r="N107" s="551">
        <f>N114+N118+N121++N124+N125+N131</f>
        <v>420</v>
      </c>
      <c r="O107" s="551">
        <v>1841.56</v>
      </c>
      <c r="P107" s="227">
        <v>0</v>
      </c>
      <c r="Q107" s="612">
        <v>1060.5</v>
      </c>
      <c r="R107" s="227">
        <v>0</v>
      </c>
      <c r="S107" s="227">
        <v>0</v>
      </c>
      <c r="T107" s="227">
        <v>0</v>
      </c>
    </row>
    <row r="108" spans="1:20" ht="12" customHeight="1" x14ac:dyDescent="0.2">
      <c r="A108" s="283" t="s">
        <v>224</v>
      </c>
      <c r="B108" s="233" t="s">
        <v>221</v>
      </c>
      <c r="C108" s="234"/>
      <c r="D108" s="285"/>
      <c r="E108" s="285"/>
      <c r="F108" s="285"/>
      <c r="G108" s="285"/>
      <c r="H108" s="285"/>
      <c r="I108" s="225"/>
      <c r="J108" s="227"/>
      <c r="K108" s="228"/>
      <c r="L108" s="229"/>
      <c r="M108" s="551">
        <f>M109+M110+M111</f>
        <v>1910.88</v>
      </c>
      <c r="N108" s="551"/>
      <c r="O108" s="551">
        <f t="shared" ref="O108:T108" si="11">O109+O110+O111</f>
        <v>2005.38</v>
      </c>
      <c r="P108" s="227">
        <f t="shared" si="11"/>
        <v>3289</v>
      </c>
      <c r="Q108" s="227">
        <f t="shared" si="11"/>
        <v>3289</v>
      </c>
      <c r="R108" s="227">
        <f t="shared" si="11"/>
        <v>3289</v>
      </c>
      <c r="S108" s="227">
        <f t="shared" si="11"/>
        <v>3289</v>
      </c>
      <c r="T108" s="227">
        <f t="shared" si="11"/>
        <v>3289</v>
      </c>
    </row>
    <row r="109" spans="1:20" ht="12" customHeight="1" x14ac:dyDescent="0.2">
      <c r="A109" s="78"/>
      <c r="B109" s="286">
        <v>610</v>
      </c>
      <c r="C109" s="135" t="s">
        <v>225</v>
      </c>
      <c r="D109" s="54"/>
      <c r="E109" s="54"/>
      <c r="F109" s="54"/>
      <c r="G109" s="54"/>
      <c r="H109" s="54"/>
      <c r="I109" s="8"/>
      <c r="J109" s="134"/>
      <c r="L109" s="53"/>
      <c r="M109" s="547">
        <v>1416</v>
      </c>
      <c r="N109" s="552"/>
      <c r="O109" s="547">
        <v>1486</v>
      </c>
      <c r="P109" s="132">
        <v>2400</v>
      </c>
      <c r="Q109" s="132">
        <v>2400</v>
      </c>
      <c r="R109" s="132">
        <v>2400</v>
      </c>
      <c r="S109" s="132">
        <v>2400</v>
      </c>
      <c r="T109" s="132">
        <v>2400</v>
      </c>
    </row>
    <row r="110" spans="1:20" ht="12" customHeight="1" x14ac:dyDescent="0.2">
      <c r="A110" s="78"/>
      <c r="B110" s="286">
        <v>620</v>
      </c>
      <c r="C110" s="135" t="s">
        <v>52</v>
      </c>
      <c r="D110" s="54"/>
      <c r="E110" s="54"/>
      <c r="F110" s="54"/>
      <c r="G110" s="54"/>
      <c r="H110" s="54"/>
      <c r="I110" s="8"/>
      <c r="J110" s="134"/>
      <c r="L110" s="53"/>
      <c r="M110" s="547">
        <v>494.88</v>
      </c>
      <c r="N110" s="552"/>
      <c r="O110" s="547">
        <v>519.38</v>
      </c>
      <c r="P110" s="132">
        <v>839</v>
      </c>
      <c r="Q110" s="132">
        <v>839</v>
      </c>
      <c r="R110" s="132">
        <v>839</v>
      </c>
      <c r="S110" s="132">
        <v>839</v>
      </c>
      <c r="T110" s="132">
        <v>839</v>
      </c>
    </row>
    <row r="111" spans="1:20" ht="12" customHeight="1" x14ac:dyDescent="0.2">
      <c r="A111" s="78"/>
      <c r="B111" s="286">
        <v>637</v>
      </c>
      <c r="C111" s="135" t="s">
        <v>48</v>
      </c>
      <c r="D111" s="54"/>
      <c r="E111" s="54"/>
      <c r="F111" s="54"/>
      <c r="G111" s="54"/>
      <c r="H111" s="54"/>
      <c r="I111" s="8"/>
      <c r="J111" s="134"/>
      <c r="L111" s="53"/>
      <c r="M111" s="547">
        <v>0</v>
      </c>
      <c r="N111" s="552"/>
      <c r="O111" s="547">
        <v>0</v>
      </c>
      <c r="P111" s="132">
        <v>50</v>
      </c>
      <c r="Q111" s="132">
        <v>50</v>
      </c>
      <c r="R111" s="132">
        <v>50</v>
      </c>
      <c r="S111" s="132">
        <v>50</v>
      </c>
      <c r="T111" s="132">
        <v>50</v>
      </c>
    </row>
    <row r="112" spans="1:20" ht="12" customHeight="1" x14ac:dyDescent="0.2">
      <c r="A112" s="421" t="s">
        <v>226</v>
      </c>
      <c r="B112" s="436">
        <v>633.63699999999994</v>
      </c>
      <c r="C112" s="433" t="s">
        <v>227</v>
      </c>
      <c r="D112" s="320"/>
      <c r="E112" s="320"/>
      <c r="F112" s="320"/>
      <c r="G112" s="320"/>
      <c r="H112" s="323"/>
      <c r="I112" s="332"/>
      <c r="J112" s="332"/>
      <c r="K112" s="325"/>
      <c r="L112" s="287"/>
      <c r="M112" s="554">
        <v>0</v>
      </c>
      <c r="N112" s="554"/>
      <c r="O112" s="554">
        <v>0</v>
      </c>
      <c r="P112" s="332">
        <v>0</v>
      </c>
      <c r="Q112" s="434">
        <v>5000</v>
      </c>
      <c r="R112" s="434">
        <v>2000</v>
      </c>
      <c r="S112" s="332">
        <v>0</v>
      </c>
      <c r="T112" s="332">
        <v>0</v>
      </c>
    </row>
    <row r="113" spans="1:20" ht="12" customHeight="1" x14ac:dyDescent="0.2">
      <c r="A113" s="283" t="s">
        <v>133</v>
      </c>
      <c r="B113" s="233"/>
      <c r="C113" s="234"/>
      <c r="D113" s="222">
        <f>SUM(D115:D136)</f>
        <v>326</v>
      </c>
      <c r="E113" s="223">
        <f>SUM(E115:E137)</f>
        <v>0</v>
      </c>
      <c r="F113" s="222">
        <f>SUM(F115:F136)</f>
        <v>326</v>
      </c>
      <c r="G113" s="222">
        <f>+G114+G116+G120+G123+G129+G133</f>
        <v>235</v>
      </c>
      <c r="H113" s="223">
        <f>+H114+H116+H120+H123+H129+H133</f>
        <v>12.145833333333334</v>
      </c>
      <c r="I113" s="225">
        <f>+I114+I116+I120+I123+I129+I133</f>
        <v>382</v>
      </c>
      <c r="J113" s="227">
        <f>J114+J116+J120+J123++J127+J129</f>
        <v>25</v>
      </c>
      <c r="K113" s="228" t="s">
        <v>53</v>
      </c>
      <c r="L113" s="229"/>
      <c r="M113" s="551">
        <f>M116+M120+M123++M127+M129+M126+M128</f>
        <v>10896.12</v>
      </c>
      <c r="N113" s="551">
        <f>N116+N120+N123++N127+N129+N133</f>
        <v>30</v>
      </c>
      <c r="O113" s="551">
        <f t="shared" ref="O113:T113" si="12">O116+O120+O123++O127+O129+O126+O128</f>
        <v>12469.2</v>
      </c>
      <c r="P113" s="227">
        <f t="shared" si="12"/>
        <v>8000</v>
      </c>
      <c r="Q113" s="227">
        <f t="shared" si="12"/>
        <v>13000</v>
      </c>
      <c r="R113" s="227">
        <f t="shared" si="12"/>
        <v>8000</v>
      </c>
      <c r="S113" s="227">
        <f t="shared" si="12"/>
        <v>8000</v>
      </c>
      <c r="T113" s="227">
        <f t="shared" si="12"/>
        <v>8000</v>
      </c>
    </row>
    <row r="114" spans="1:20" ht="12" hidden="1" customHeight="1" x14ac:dyDescent="0.2">
      <c r="A114" s="68"/>
      <c r="B114" s="49"/>
      <c r="C114" s="69"/>
      <c r="D114" s="61"/>
      <c r="E114" s="69"/>
      <c r="F114" s="61"/>
      <c r="G114" s="61">
        <f>+G115</f>
        <v>20</v>
      </c>
      <c r="H114" s="63">
        <f>+H115</f>
        <v>1</v>
      </c>
      <c r="I114" s="64">
        <f>+I115</f>
        <v>25</v>
      </c>
      <c r="J114" s="131">
        <v>0</v>
      </c>
      <c r="L114" s="53"/>
      <c r="M114" s="548">
        <f t="shared" ref="M114:T114" si="13">M115</f>
        <v>160</v>
      </c>
      <c r="N114" s="548">
        <f t="shared" si="13"/>
        <v>160</v>
      </c>
      <c r="O114" s="548">
        <f t="shared" si="13"/>
        <v>160</v>
      </c>
      <c r="P114" s="131">
        <f t="shared" si="13"/>
        <v>160</v>
      </c>
      <c r="Q114" s="131">
        <f t="shared" si="13"/>
        <v>140</v>
      </c>
      <c r="R114" s="131">
        <f t="shared" si="13"/>
        <v>140</v>
      </c>
      <c r="S114" s="131">
        <f t="shared" si="13"/>
        <v>140</v>
      </c>
      <c r="T114" s="131">
        <f t="shared" si="13"/>
        <v>140</v>
      </c>
    </row>
    <row r="115" spans="1:20" ht="12" hidden="1" customHeight="1" outlineLevel="1" x14ac:dyDescent="0.2">
      <c r="A115" s="44"/>
      <c r="B115" s="45" t="s">
        <v>6</v>
      </c>
      <c r="C115" s="11" t="s">
        <v>92</v>
      </c>
      <c r="D115" s="20">
        <v>20</v>
      </c>
      <c r="E115" s="47"/>
      <c r="F115" s="20">
        <f>+D115</f>
        <v>20</v>
      </c>
      <c r="G115" s="6">
        <v>20</v>
      </c>
      <c r="H115" s="74">
        <f>+G115/D115</f>
        <v>1</v>
      </c>
      <c r="I115" s="4">
        <v>25</v>
      </c>
      <c r="J115" s="132">
        <v>120</v>
      </c>
      <c r="L115" s="53"/>
      <c r="M115" s="547">
        <v>160</v>
      </c>
      <c r="N115" s="547">
        <v>160</v>
      </c>
      <c r="O115" s="547">
        <v>160</v>
      </c>
      <c r="P115" s="132">
        <v>160</v>
      </c>
      <c r="Q115" s="132">
        <v>140</v>
      </c>
      <c r="R115" s="132">
        <v>140</v>
      </c>
      <c r="S115" s="132">
        <v>140</v>
      </c>
      <c r="T115" s="132">
        <v>140</v>
      </c>
    </row>
    <row r="116" spans="1:20" ht="12" customHeight="1" collapsed="1" x14ac:dyDescent="0.2">
      <c r="A116" s="68"/>
      <c r="B116" s="45">
        <v>632</v>
      </c>
      <c r="C116" s="11" t="s">
        <v>202</v>
      </c>
      <c r="D116" s="61"/>
      <c r="E116" s="69"/>
      <c r="F116" s="61"/>
      <c r="G116" s="61">
        <f>SUM(G117:G119)</f>
        <v>95</v>
      </c>
      <c r="H116" s="63">
        <f>SUM(H117:H119)</f>
        <v>2.3791666666666669</v>
      </c>
      <c r="I116" s="64">
        <f>SUM(I117:I119)</f>
        <v>140</v>
      </c>
      <c r="J116" s="4">
        <v>10</v>
      </c>
      <c r="L116" s="53"/>
      <c r="M116" s="549">
        <v>1315.56</v>
      </c>
      <c r="N116" s="549">
        <v>10</v>
      </c>
      <c r="O116" s="549">
        <v>1729.93</v>
      </c>
      <c r="P116" s="4">
        <v>2000</v>
      </c>
      <c r="Q116" s="4">
        <v>2000</v>
      </c>
      <c r="R116" s="4">
        <v>2000</v>
      </c>
      <c r="S116" s="4">
        <v>2000</v>
      </c>
      <c r="T116" s="4">
        <v>2000</v>
      </c>
    </row>
    <row r="117" spans="1:20" ht="12" hidden="1" customHeight="1" outlineLevel="1" x14ac:dyDescent="0.2">
      <c r="A117" s="44"/>
      <c r="B117" s="45" t="s">
        <v>169</v>
      </c>
      <c r="C117" s="11" t="s">
        <v>93</v>
      </c>
      <c r="D117" s="46">
        <v>30</v>
      </c>
      <c r="E117" s="47"/>
      <c r="F117" s="20">
        <f t="shared" ref="F117:F136" si="14">+D117</f>
        <v>30</v>
      </c>
      <c r="G117" s="6">
        <v>31</v>
      </c>
      <c r="H117" s="74">
        <f>+G117/D117</f>
        <v>1.0333333333333334</v>
      </c>
      <c r="I117" s="6">
        <v>40</v>
      </c>
      <c r="J117" s="133">
        <v>45</v>
      </c>
      <c r="L117" s="53"/>
      <c r="M117" s="549">
        <v>60</v>
      </c>
      <c r="N117" s="549">
        <v>60</v>
      </c>
      <c r="O117" s="549">
        <v>60</v>
      </c>
      <c r="P117" s="6">
        <v>60</v>
      </c>
      <c r="Q117" s="133">
        <v>50</v>
      </c>
      <c r="R117" s="6">
        <v>60</v>
      </c>
      <c r="S117" s="6">
        <v>60</v>
      </c>
      <c r="T117" s="6">
        <v>60</v>
      </c>
    </row>
    <row r="118" spans="1:20" ht="12" hidden="1" customHeight="1" outlineLevel="1" x14ac:dyDescent="0.2">
      <c r="A118" s="44"/>
      <c r="B118" s="45" t="s">
        <v>168</v>
      </c>
      <c r="C118" s="11" t="s">
        <v>93</v>
      </c>
      <c r="D118" s="82">
        <v>120</v>
      </c>
      <c r="E118" s="47"/>
      <c r="F118" s="20">
        <f t="shared" si="14"/>
        <v>120</v>
      </c>
      <c r="G118" s="6">
        <v>49</v>
      </c>
      <c r="H118" s="74">
        <f>+G118/D118</f>
        <v>0.40833333333333333</v>
      </c>
      <c r="I118" s="124">
        <v>80</v>
      </c>
      <c r="J118" s="145">
        <v>40</v>
      </c>
      <c r="L118" s="53"/>
      <c r="M118" s="549">
        <v>60</v>
      </c>
      <c r="N118" s="549">
        <v>60</v>
      </c>
      <c r="O118" s="549">
        <v>60</v>
      </c>
      <c r="P118" s="124">
        <v>60</v>
      </c>
      <c r="Q118" s="145">
        <v>50</v>
      </c>
      <c r="R118" s="124">
        <v>60</v>
      </c>
      <c r="S118" s="124">
        <v>60</v>
      </c>
      <c r="T118" s="124">
        <v>60</v>
      </c>
    </row>
    <row r="119" spans="1:20" ht="12" hidden="1" customHeight="1" outlineLevel="1" x14ac:dyDescent="0.2">
      <c r="A119" s="44"/>
      <c r="B119" s="10">
        <v>632002</v>
      </c>
      <c r="C119" s="11" t="s">
        <v>94</v>
      </c>
      <c r="D119" s="20">
        <v>16</v>
      </c>
      <c r="E119" s="47"/>
      <c r="F119" s="20">
        <f t="shared" si="14"/>
        <v>16</v>
      </c>
      <c r="G119" s="6">
        <v>15</v>
      </c>
      <c r="H119" s="74">
        <f>+G119/D119</f>
        <v>0.9375</v>
      </c>
      <c r="I119" s="4">
        <v>20</v>
      </c>
      <c r="J119" s="132">
        <v>50</v>
      </c>
      <c r="L119" s="53"/>
      <c r="M119" s="549">
        <v>70</v>
      </c>
      <c r="N119" s="549">
        <v>70</v>
      </c>
      <c r="O119" s="549">
        <v>70</v>
      </c>
      <c r="P119" s="4">
        <v>70</v>
      </c>
      <c r="Q119" s="132">
        <v>60</v>
      </c>
      <c r="R119" s="4">
        <v>70</v>
      </c>
      <c r="S119" s="4">
        <v>70</v>
      </c>
      <c r="T119" s="4">
        <v>70</v>
      </c>
    </row>
    <row r="120" spans="1:20" ht="12" customHeight="1" collapsed="1" x14ac:dyDescent="0.2">
      <c r="A120" s="68"/>
      <c r="B120" s="45">
        <v>633</v>
      </c>
      <c r="C120" s="47" t="s">
        <v>46</v>
      </c>
      <c r="D120" s="61"/>
      <c r="E120" s="69"/>
      <c r="F120" s="61">
        <f t="shared" si="14"/>
        <v>0</v>
      </c>
      <c r="G120" s="61">
        <f>SUM(G121:G122)</f>
        <v>27</v>
      </c>
      <c r="H120" s="63">
        <f>SUM(H121:H122)</f>
        <v>2.7</v>
      </c>
      <c r="I120" s="64">
        <f>SUM(I121:I122)</f>
        <v>40</v>
      </c>
      <c r="J120" s="4">
        <v>10</v>
      </c>
      <c r="L120" s="53"/>
      <c r="M120" s="549">
        <v>5744.14</v>
      </c>
      <c r="N120" s="549">
        <v>10</v>
      </c>
      <c r="O120" s="549">
        <v>6789.6</v>
      </c>
      <c r="P120" s="4">
        <v>2000</v>
      </c>
      <c r="Q120" s="4">
        <v>6950</v>
      </c>
      <c r="R120" s="4">
        <v>2000</v>
      </c>
      <c r="S120" s="4">
        <v>2000</v>
      </c>
      <c r="T120" s="4">
        <v>2000</v>
      </c>
    </row>
    <row r="121" spans="1:20" ht="12" hidden="1" customHeight="1" outlineLevel="1" x14ac:dyDescent="0.2">
      <c r="A121" s="44"/>
      <c r="B121" s="10">
        <v>633004</v>
      </c>
      <c r="C121" s="11" t="s">
        <v>119</v>
      </c>
      <c r="D121" s="20">
        <v>20</v>
      </c>
      <c r="E121" s="47"/>
      <c r="F121" s="20">
        <f t="shared" si="14"/>
        <v>20</v>
      </c>
      <c r="G121" s="6">
        <v>0</v>
      </c>
      <c r="H121" s="74">
        <f>+G121/D121</f>
        <v>0</v>
      </c>
      <c r="I121" s="4">
        <v>10</v>
      </c>
      <c r="J121" s="132">
        <v>10</v>
      </c>
      <c r="L121" s="53"/>
      <c r="M121" s="549">
        <v>10</v>
      </c>
      <c r="N121" s="549">
        <v>10</v>
      </c>
      <c r="O121" s="549">
        <v>10</v>
      </c>
      <c r="P121" s="4">
        <v>10</v>
      </c>
      <c r="Q121" s="132">
        <v>10</v>
      </c>
      <c r="R121" s="4">
        <v>10</v>
      </c>
      <c r="S121" s="4">
        <v>10</v>
      </c>
      <c r="T121" s="4">
        <v>10</v>
      </c>
    </row>
    <row r="122" spans="1:20" ht="12" hidden="1" customHeight="1" outlineLevel="1" x14ac:dyDescent="0.2">
      <c r="A122" s="44"/>
      <c r="B122" s="10">
        <v>633010</v>
      </c>
      <c r="C122" s="11" t="s">
        <v>120</v>
      </c>
      <c r="D122" s="20">
        <v>10</v>
      </c>
      <c r="E122" s="47"/>
      <c r="F122" s="20">
        <f t="shared" si="14"/>
        <v>10</v>
      </c>
      <c r="G122" s="6">
        <v>27</v>
      </c>
      <c r="H122" s="74">
        <f>+G122/D122</f>
        <v>2.7</v>
      </c>
      <c r="I122" s="4">
        <v>30</v>
      </c>
      <c r="J122" s="132">
        <v>15</v>
      </c>
      <c r="L122" s="53"/>
      <c r="M122" s="549">
        <v>15</v>
      </c>
      <c r="N122" s="549">
        <v>15</v>
      </c>
      <c r="O122" s="549">
        <v>15</v>
      </c>
      <c r="P122" s="4">
        <v>15</v>
      </c>
      <c r="Q122" s="132">
        <v>15</v>
      </c>
      <c r="R122" s="4">
        <v>15</v>
      </c>
      <c r="S122" s="4">
        <v>15</v>
      </c>
      <c r="T122" s="4">
        <v>15</v>
      </c>
    </row>
    <row r="123" spans="1:20" ht="12" customHeight="1" collapsed="1" x14ac:dyDescent="0.2">
      <c r="A123" s="68"/>
      <c r="B123" s="45">
        <v>634</v>
      </c>
      <c r="C123" s="47" t="s">
        <v>8</v>
      </c>
      <c r="D123" s="71"/>
      <c r="E123" s="69"/>
      <c r="F123" s="61"/>
      <c r="G123" s="71">
        <f>SUM(G124:G127)</f>
        <v>65</v>
      </c>
      <c r="H123" s="122">
        <f>SUM(H124:H127)</f>
        <v>3.8</v>
      </c>
      <c r="I123" s="72">
        <f>SUM(I124:I127)</f>
        <v>134</v>
      </c>
      <c r="J123" s="4">
        <v>5</v>
      </c>
      <c r="L123" s="53"/>
      <c r="M123" s="549">
        <v>1469.58</v>
      </c>
      <c r="N123" s="549">
        <v>10</v>
      </c>
      <c r="O123" s="549">
        <v>1859.29</v>
      </c>
      <c r="P123" s="4">
        <v>1500</v>
      </c>
      <c r="Q123" s="4">
        <v>1000</v>
      </c>
      <c r="R123" s="4">
        <v>1900</v>
      </c>
      <c r="S123" s="4">
        <v>1900</v>
      </c>
      <c r="T123" s="4">
        <v>1900</v>
      </c>
    </row>
    <row r="124" spans="1:20" ht="12" hidden="1" customHeight="1" outlineLevel="1" x14ac:dyDescent="0.2">
      <c r="A124" s="44"/>
      <c r="B124" s="45" t="s">
        <v>9</v>
      </c>
      <c r="C124" s="11" t="s">
        <v>101</v>
      </c>
      <c r="D124" s="46">
        <v>40</v>
      </c>
      <c r="E124" s="47"/>
      <c r="F124" s="20">
        <f t="shared" si="14"/>
        <v>40</v>
      </c>
      <c r="G124" s="6">
        <v>36</v>
      </c>
      <c r="H124" s="74">
        <f>+G124/D124</f>
        <v>0.9</v>
      </c>
      <c r="I124" s="6">
        <v>50</v>
      </c>
      <c r="J124" s="133">
        <v>90</v>
      </c>
      <c r="L124" s="53"/>
      <c r="M124" s="549">
        <v>120</v>
      </c>
      <c r="N124" s="549">
        <v>120</v>
      </c>
      <c r="O124" s="549">
        <v>120</v>
      </c>
      <c r="P124" s="6">
        <v>120</v>
      </c>
      <c r="Q124" s="133">
        <v>100</v>
      </c>
      <c r="R124" s="6">
        <v>120</v>
      </c>
      <c r="S124" s="6">
        <v>120</v>
      </c>
      <c r="T124" s="6">
        <v>120</v>
      </c>
    </row>
    <row r="125" spans="1:20" ht="12" hidden="1" customHeight="1" outlineLevel="1" x14ac:dyDescent="0.2">
      <c r="A125" s="44"/>
      <c r="B125" s="10">
        <v>634002</v>
      </c>
      <c r="C125" s="11" t="s">
        <v>102</v>
      </c>
      <c r="D125" s="20">
        <v>10</v>
      </c>
      <c r="E125" s="47"/>
      <c r="F125" s="20">
        <f t="shared" si="14"/>
        <v>10</v>
      </c>
      <c r="G125" s="6">
        <v>29</v>
      </c>
      <c r="H125" s="74">
        <f>+G125/D125</f>
        <v>2.9</v>
      </c>
      <c r="I125" s="4">
        <v>60</v>
      </c>
      <c r="J125" s="132">
        <v>50</v>
      </c>
      <c r="L125" s="53"/>
      <c r="M125" s="549">
        <v>70</v>
      </c>
      <c r="N125" s="549">
        <v>70</v>
      </c>
      <c r="O125" s="549">
        <v>70</v>
      </c>
      <c r="P125" s="4">
        <v>70</v>
      </c>
      <c r="Q125" s="132">
        <v>60</v>
      </c>
      <c r="R125" s="4">
        <v>70</v>
      </c>
      <c r="S125" s="4">
        <v>70</v>
      </c>
      <c r="T125" s="4">
        <v>70</v>
      </c>
    </row>
    <row r="126" spans="1:20" ht="12" customHeight="1" outlineLevel="1" x14ac:dyDescent="0.2">
      <c r="A126" s="44"/>
      <c r="B126" s="10">
        <v>634003</v>
      </c>
      <c r="C126" s="11" t="s">
        <v>112</v>
      </c>
      <c r="D126" s="20"/>
      <c r="E126" s="47"/>
      <c r="F126" s="20"/>
      <c r="G126" s="6"/>
      <c r="H126" s="74"/>
      <c r="I126" s="4"/>
      <c r="J126" s="132"/>
      <c r="L126" s="53"/>
      <c r="M126" s="549">
        <v>416.68</v>
      </c>
      <c r="N126" s="549"/>
      <c r="O126" s="549">
        <v>319.44</v>
      </c>
      <c r="P126" s="4">
        <v>500</v>
      </c>
      <c r="Q126" s="132">
        <v>500</v>
      </c>
      <c r="R126" s="4">
        <v>500</v>
      </c>
      <c r="S126" s="4">
        <v>500</v>
      </c>
      <c r="T126" s="4">
        <v>500</v>
      </c>
    </row>
    <row r="127" spans="1:20" ht="12" customHeight="1" x14ac:dyDescent="0.2">
      <c r="A127" s="44"/>
      <c r="B127" s="10">
        <v>637</v>
      </c>
      <c r="C127" s="11" t="s">
        <v>197</v>
      </c>
      <c r="D127" s="46">
        <v>20</v>
      </c>
      <c r="E127" s="47"/>
      <c r="F127" s="20">
        <f t="shared" si="14"/>
        <v>20</v>
      </c>
      <c r="G127" s="6">
        <v>0</v>
      </c>
      <c r="H127" s="74">
        <f>+G127/D127</f>
        <v>0</v>
      </c>
      <c r="I127" s="6">
        <v>24</v>
      </c>
      <c r="J127" s="6">
        <v>0</v>
      </c>
      <c r="K127" s="217"/>
      <c r="L127" s="218"/>
      <c r="M127" s="549">
        <v>1133.44</v>
      </c>
      <c r="N127" s="549">
        <v>0</v>
      </c>
      <c r="O127" s="549">
        <v>1708.84</v>
      </c>
      <c r="P127" s="6">
        <v>1000</v>
      </c>
      <c r="Q127" s="6">
        <v>1450</v>
      </c>
      <c r="R127" s="6">
        <v>600</v>
      </c>
      <c r="S127" s="6">
        <v>600</v>
      </c>
      <c r="T127" s="6">
        <v>600</v>
      </c>
    </row>
    <row r="128" spans="1:20" ht="12" customHeight="1" x14ac:dyDescent="0.2">
      <c r="A128" s="44"/>
      <c r="B128" s="10">
        <v>631</v>
      </c>
      <c r="C128" s="11" t="s">
        <v>228</v>
      </c>
      <c r="D128" s="46"/>
      <c r="E128" s="47"/>
      <c r="F128" s="58"/>
      <c r="G128" s="75"/>
      <c r="H128" s="74"/>
      <c r="I128" s="6"/>
      <c r="J128" s="6"/>
      <c r="K128" s="217"/>
      <c r="L128" s="218"/>
      <c r="M128" s="549">
        <v>0</v>
      </c>
      <c r="N128" s="549"/>
      <c r="O128" s="549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</row>
    <row r="129" spans="1:20" ht="12" customHeight="1" x14ac:dyDescent="0.2">
      <c r="A129" s="68"/>
      <c r="B129" s="45">
        <v>635</v>
      </c>
      <c r="C129" s="47" t="s">
        <v>47</v>
      </c>
      <c r="D129" s="71"/>
      <c r="E129" s="69"/>
      <c r="F129" s="62"/>
      <c r="G129" s="83">
        <f>+G130</f>
        <v>7</v>
      </c>
      <c r="H129" s="69">
        <f>+H130</f>
        <v>1.4</v>
      </c>
      <c r="I129" s="72">
        <f>+I130</f>
        <v>10</v>
      </c>
      <c r="J129" s="6">
        <v>0</v>
      </c>
      <c r="L129" s="53"/>
      <c r="M129" s="549">
        <v>816.72</v>
      </c>
      <c r="N129" s="549">
        <v>0</v>
      </c>
      <c r="O129" s="549">
        <v>62.1</v>
      </c>
      <c r="P129" s="6">
        <v>1000</v>
      </c>
      <c r="Q129" s="6">
        <v>1100</v>
      </c>
      <c r="R129" s="6">
        <v>1000</v>
      </c>
      <c r="S129" s="6">
        <v>1000</v>
      </c>
      <c r="T129" s="6">
        <v>1000</v>
      </c>
    </row>
    <row r="130" spans="1:20" ht="12" hidden="1" customHeight="1" outlineLevel="1" x14ac:dyDescent="0.2">
      <c r="A130" s="44"/>
      <c r="B130" s="10">
        <v>635006</v>
      </c>
      <c r="C130" s="11" t="s">
        <v>106</v>
      </c>
      <c r="D130" s="46">
        <v>5</v>
      </c>
      <c r="E130" s="47"/>
      <c r="F130" s="20">
        <f t="shared" si="14"/>
        <v>5</v>
      </c>
      <c r="G130" s="6">
        <v>7</v>
      </c>
      <c r="H130" s="74">
        <f>+G130/D130</f>
        <v>1.4</v>
      </c>
      <c r="I130" s="6">
        <v>10</v>
      </c>
      <c r="J130" s="133">
        <v>250</v>
      </c>
      <c r="K130" s="14" t="s">
        <v>62</v>
      </c>
      <c r="L130" s="53"/>
      <c r="M130" s="547">
        <v>300</v>
      </c>
      <c r="N130" s="547">
        <v>350</v>
      </c>
      <c r="O130" s="547">
        <v>350</v>
      </c>
      <c r="P130" s="133">
        <v>350</v>
      </c>
      <c r="Q130" s="133">
        <v>300</v>
      </c>
      <c r="R130" s="133">
        <v>300</v>
      </c>
      <c r="S130" s="133">
        <v>300</v>
      </c>
      <c r="T130" s="133">
        <v>300</v>
      </c>
    </row>
    <row r="131" spans="1:20" ht="12" hidden="1" customHeight="1" outlineLevel="1" x14ac:dyDescent="0.2">
      <c r="A131" s="283"/>
      <c r="B131" s="327"/>
      <c r="C131" s="334"/>
      <c r="D131" s="330"/>
      <c r="E131" s="320"/>
      <c r="F131" s="331"/>
      <c r="G131" s="322"/>
      <c r="H131" s="323"/>
      <c r="I131" s="332"/>
      <c r="J131" s="276">
        <f>J133</f>
        <v>400</v>
      </c>
      <c r="K131" s="325"/>
      <c r="L131" s="287"/>
      <c r="M131" s="555"/>
      <c r="N131" s="555"/>
      <c r="O131" s="555"/>
      <c r="P131" s="333"/>
      <c r="Q131" s="333"/>
      <c r="R131" s="333"/>
      <c r="S131" s="333"/>
      <c r="T131" s="333"/>
    </row>
    <row r="132" spans="1:20" ht="12" hidden="1" customHeight="1" outlineLevel="1" x14ac:dyDescent="0.2">
      <c r="A132" s="44"/>
      <c r="B132" s="10"/>
      <c r="C132" s="11"/>
      <c r="D132" s="46"/>
      <c r="E132" s="47"/>
      <c r="F132" s="58"/>
      <c r="G132" s="75"/>
      <c r="H132" s="74"/>
      <c r="I132" s="6"/>
      <c r="J132" s="133"/>
      <c r="L132" s="53"/>
      <c r="M132" s="547"/>
      <c r="N132" s="547"/>
      <c r="O132" s="547"/>
      <c r="P132" s="133"/>
      <c r="Q132" s="133"/>
      <c r="R132" s="133"/>
      <c r="S132" s="133"/>
      <c r="T132" s="133"/>
    </row>
    <row r="133" spans="1:20" ht="12" hidden="1" customHeight="1" collapsed="1" x14ac:dyDescent="0.2">
      <c r="A133" s="44"/>
      <c r="B133" s="45"/>
      <c r="C133" s="47"/>
      <c r="D133" s="61"/>
      <c r="E133" s="69"/>
      <c r="F133" s="62"/>
      <c r="G133" s="77">
        <f>SUM(G134:G136)</f>
        <v>21</v>
      </c>
      <c r="H133" s="62">
        <f>SUM(H134:H136)</f>
        <v>0.8666666666666667</v>
      </c>
      <c r="I133" s="64">
        <f>SUM(I134:I136)</f>
        <v>33</v>
      </c>
      <c r="J133" s="4">
        <v>400</v>
      </c>
      <c r="L133" s="53"/>
      <c r="M133" s="549">
        <v>0</v>
      </c>
      <c r="N133" s="549">
        <v>0</v>
      </c>
      <c r="O133" s="549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</row>
    <row r="134" spans="1:20" ht="12" hidden="1" customHeight="1" outlineLevel="1" x14ac:dyDescent="0.2">
      <c r="A134" s="44"/>
      <c r="B134" s="10">
        <v>637004</v>
      </c>
      <c r="C134" s="11" t="s">
        <v>109</v>
      </c>
      <c r="D134" s="20">
        <v>30</v>
      </c>
      <c r="E134" s="47"/>
      <c r="F134" s="20">
        <f t="shared" si="14"/>
        <v>30</v>
      </c>
      <c r="G134" s="6">
        <v>20</v>
      </c>
      <c r="H134" s="74">
        <f>+G134/D134</f>
        <v>0.66666666666666663</v>
      </c>
      <c r="I134" s="4">
        <v>27</v>
      </c>
      <c r="J134" s="132">
        <v>0</v>
      </c>
      <c r="L134" s="53"/>
      <c r="M134" s="547">
        <v>20</v>
      </c>
      <c r="N134" s="547">
        <v>30</v>
      </c>
      <c r="O134" s="547">
        <v>30</v>
      </c>
      <c r="P134" s="132">
        <v>30</v>
      </c>
      <c r="Q134" s="132">
        <v>20</v>
      </c>
      <c r="R134" s="132">
        <v>20</v>
      </c>
      <c r="S134" s="132">
        <v>20</v>
      </c>
      <c r="T134" s="132">
        <v>20</v>
      </c>
    </row>
    <row r="135" spans="1:20" ht="12" hidden="1" customHeight="1" outlineLevel="1" x14ac:dyDescent="0.2">
      <c r="A135" s="44"/>
      <c r="B135" s="10">
        <v>637015</v>
      </c>
      <c r="C135" s="11" t="s">
        <v>112</v>
      </c>
      <c r="D135" s="20"/>
      <c r="E135" s="47"/>
      <c r="F135" s="20"/>
      <c r="G135" s="6"/>
      <c r="H135" s="74"/>
      <c r="I135" s="4">
        <v>4</v>
      </c>
      <c r="J135" s="132">
        <v>0</v>
      </c>
      <c r="L135" s="53"/>
      <c r="M135" s="547">
        <v>90</v>
      </c>
      <c r="N135" s="547">
        <v>100</v>
      </c>
      <c r="O135" s="547">
        <v>100</v>
      </c>
      <c r="P135" s="132">
        <v>100</v>
      </c>
      <c r="Q135" s="132">
        <v>90</v>
      </c>
      <c r="R135" s="132">
        <v>90</v>
      </c>
      <c r="S135" s="132">
        <v>90</v>
      </c>
      <c r="T135" s="132">
        <v>90</v>
      </c>
    </row>
    <row r="136" spans="1:20" ht="12" hidden="1" customHeight="1" outlineLevel="1" x14ac:dyDescent="0.2">
      <c r="A136" s="44"/>
      <c r="B136" s="10">
        <v>637027</v>
      </c>
      <c r="C136" s="11" t="s">
        <v>114</v>
      </c>
      <c r="D136" s="20">
        <v>5</v>
      </c>
      <c r="E136" s="47"/>
      <c r="F136" s="20">
        <f t="shared" si="14"/>
        <v>5</v>
      </c>
      <c r="G136" s="6">
        <v>1</v>
      </c>
      <c r="H136" s="74">
        <f>+G136/D136</f>
        <v>0.2</v>
      </c>
      <c r="I136" s="4">
        <v>2</v>
      </c>
      <c r="J136" s="132">
        <v>0</v>
      </c>
      <c r="L136" s="53"/>
      <c r="M136" s="547">
        <v>60</v>
      </c>
      <c r="N136" s="547">
        <v>70</v>
      </c>
      <c r="O136" s="547">
        <v>70</v>
      </c>
      <c r="P136" s="132">
        <v>70</v>
      </c>
      <c r="Q136" s="132">
        <v>60</v>
      </c>
      <c r="R136" s="132">
        <v>60</v>
      </c>
      <c r="S136" s="132">
        <v>60</v>
      </c>
      <c r="T136" s="132">
        <v>60</v>
      </c>
    </row>
    <row r="137" spans="1:20" ht="12" hidden="1" customHeight="1" collapsed="1" x14ac:dyDescent="0.2">
      <c r="A137" s="44"/>
      <c r="B137" s="47"/>
      <c r="C137" s="47"/>
      <c r="D137" s="47"/>
      <c r="E137" s="47"/>
      <c r="F137" s="58"/>
      <c r="G137" s="47"/>
      <c r="H137" s="74" t="e">
        <f>+G137/D137</f>
        <v>#DIV/0!</v>
      </c>
      <c r="I137" s="6"/>
      <c r="J137" s="130"/>
      <c r="L137" s="53"/>
      <c r="M137" s="548"/>
      <c r="N137" s="548"/>
      <c r="O137" s="548"/>
      <c r="P137" s="130"/>
      <c r="Q137" s="130"/>
      <c r="R137" s="130"/>
      <c r="S137" s="130"/>
      <c r="T137" s="130"/>
    </row>
    <row r="138" spans="1:20" ht="12" hidden="1" customHeight="1" x14ac:dyDescent="0.2">
      <c r="A138" s="219" t="s">
        <v>147</v>
      </c>
      <c r="B138" s="220"/>
      <c r="C138" s="239"/>
      <c r="D138" s="222">
        <f>SUM(D140:D165)</f>
        <v>1597.48</v>
      </c>
      <c r="E138" s="223">
        <f>SUM(E140:E166)</f>
        <v>1247.3494999999998</v>
      </c>
      <c r="F138" s="222">
        <f>SUM(F140:F165)</f>
        <v>1628.48</v>
      </c>
      <c r="G138" s="222">
        <f>+G139+G143+G153+G157+G159+G163</f>
        <v>1190</v>
      </c>
      <c r="H138" s="223">
        <f>+H139+H143+H153+H157+H159+H163</f>
        <v>14.33934247316507</v>
      </c>
      <c r="I138" s="225">
        <f>+I139+I143+I153+I157+I159+I163</f>
        <v>1790.88</v>
      </c>
      <c r="J138" s="227">
        <f>J139+J143+J153+J159+J162+J163</f>
        <v>0</v>
      </c>
      <c r="K138" s="228"/>
      <c r="L138" s="229"/>
      <c r="M138" s="551">
        <f t="shared" ref="M138:T138" si="15">M139+M143+M153+M159+M162+M163</f>
        <v>1050</v>
      </c>
      <c r="N138" s="551">
        <f t="shared" si="15"/>
        <v>1290</v>
      </c>
      <c r="O138" s="551">
        <f t="shared" si="15"/>
        <v>1290</v>
      </c>
      <c r="P138" s="227">
        <f t="shared" si="15"/>
        <v>1290</v>
      </c>
      <c r="Q138" s="227">
        <f t="shared" si="15"/>
        <v>1050</v>
      </c>
      <c r="R138" s="227">
        <f t="shared" si="15"/>
        <v>1050</v>
      </c>
      <c r="S138" s="227">
        <f t="shared" si="15"/>
        <v>1050</v>
      </c>
      <c r="T138" s="227">
        <f t="shared" si="15"/>
        <v>1050</v>
      </c>
    </row>
    <row r="139" spans="1:20" ht="12" hidden="1" customHeight="1" x14ac:dyDescent="0.2">
      <c r="A139" s="68"/>
      <c r="B139" s="49">
        <v>610</v>
      </c>
      <c r="C139" s="50" t="s">
        <v>80</v>
      </c>
      <c r="D139" s="51"/>
      <c r="E139" s="54"/>
      <c r="F139" s="51"/>
      <c r="G139" s="51">
        <f>SUM(G140:G142)</f>
        <v>487</v>
      </c>
      <c r="H139" s="52">
        <f>SUM(H140:H142)</f>
        <v>1.7304597701149425</v>
      </c>
      <c r="I139" s="8">
        <f>SUM(I140:I142)</f>
        <v>760</v>
      </c>
      <c r="J139" s="131"/>
      <c r="L139" s="53"/>
      <c r="M139" s="548">
        <f t="shared" ref="M139:T139" si="16">M140+M141+M142</f>
        <v>180</v>
      </c>
      <c r="N139" s="548">
        <f t="shared" si="16"/>
        <v>200</v>
      </c>
      <c r="O139" s="548">
        <f t="shared" si="16"/>
        <v>200</v>
      </c>
      <c r="P139" s="131">
        <f t="shared" si="16"/>
        <v>200</v>
      </c>
      <c r="Q139" s="131">
        <f t="shared" si="16"/>
        <v>180</v>
      </c>
      <c r="R139" s="131">
        <f t="shared" si="16"/>
        <v>180</v>
      </c>
      <c r="S139" s="131">
        <f t="shared" si="16"/>
        <v>180</v>
      </c>
      <c r="T139" s="131">
        <f t="shared" si="16"/>
        <v>180</v>
      </c>
    </row>
    <row r="140" spans="1:20" ht="12" hidden="1" customHeight="1" outlineLevel="1" x14ac:dyDescent="0.2">
      <c r="A140" s="44"/>
      <c r="B140" s="45">
        <v>611</v>
      </c>
      <c r="C140" s="11" t="s">
        <v>82</v>
      </c>
      <c r="D140" s="20">
        <v>580</v>
      </c>
      <c r="E140" s="47"/>
      <c r="F140" s="20">
        <f>+D140</f>
        <v>580</v>
      </c>
      <c r="G140" s="6">
        <v>385</v>
      </c>
      <c r="H140" s="74">
        <f>+G140/D140</f>
        <v>0.66379310344827591</v>
      </c>
      <c r="I140" s="4">
        <f>+F140</f>
        <v>580</v>
      </c>
      <c r="J140" s="132">
        <v>120</v>
      </c>
      <c r="L140" s="53"/>
      <c r="M140" s="547">
        <v>130</v>
      </c>
      <c r="N140" s="547">
        <v>140</v>
      </c>
      <c r="O140" s="547">
        <v>140</v>
      </c>
      <c r="P140" s="132">
        <v>140</v>
      </c>
      <c r="Q140" s="132">
        <v>130</v>
      </c>
      <c r="R140" s="132">
        <v>130</v>
      </c>
      <c r="S140" s="132">
        <v>130</v>
      </c>
      <c r="T140" s="132">
        <v>130</v>
      </c>
    </row>
    <row r="141" spans="1:20" ht="12" hidden="1" customHeight="1" outlineLevel="1" x14ac:dyDescent="0.2">
      <c r="A141" s="44"/>
      <c r="B141" s="45">
        <v>612</v>
      </c>
      <c r="C141" s="11" t="s">
        <v>83</v>
      </c>
      <c r="D141" s="20">
        <v>120</v>
      </c>
      <c r="E141" s="47">
        <v>487</v>
      </c>
      <c r="F141" s="20">
        <f t="shared" ref="F141:F162" si="17">+D141</f>
        <v>120</v>
      </c>
      <c r="G141" s="6">
        <v>76</v>
      </c>
      <c r="H141" s="74">
        <f>+G141/D141</f>
        <v>0.6333333333333333</v>
      </c>
      <c r="I141" s="4">
        <f>+F141</f>
        <v>120</v>
      </c>
      <c r="J141" s="132">
        <v>10</v>
      </c>
      <c r="L141" s="53"/>
      <c r="M141" s="547">
        <v>20</v>
      </c>
      <c r="N141" s="547">
        <v>30</v>
      </c>
      <c r="O141" s="547">
        <v>30</v>
      </c>
      <c r="P141" s="132">
        <v>30</v>
      </c>
      <c r="Q141" s="132">
        <v>20</v>
      </c>
      <c r="R141" s="132">
        <v>20</v>
      </c>
      <c r="S141" s="132">
        <v>20</v>
      </c>
      <c r="T141" s="132">
        <v>20</v>
      </c>
    </row>
    <row r="142" spans="1:20" ht="12" hidden="1" customHeight="1" outlineLevel="1" x14ac:dyDescent="0.2">
      <c r="A142" s="44"/>
      <c r="B142" s="10">
        <v>614</v>
      </c>
      <c r="C142" s="11" t="s">
        <v>30</v>
      </c>
      <c r="D142" s="20">
        <v>60</v>
      </c>
      <c r="E142" s="58">
        <f>SUM(D140:D142)</f>
        <v>760</v>
      </c>
      <c r="F142" s="20">
        <f t="shared" si="17"/>
        <v>60</v>
      </c>
      <c r="G142" s="6">
        <v>26</v>
      </c>
      <c r="H142" s="74">
        <f>+G142/D142</f>
        <v>0.43333333333333335</v>
      </c>
      <c r="I142" s="4">
        <f>+F142</f>
        <v>60</v>
      </c>
      <c r="J142" s="132">
        <v>20</v>
      </c>
      <c r="L142" s="53"/>
      <c r="M142" s="547">
        <v>30</v>
      </c>
      <c r="N142" s="547">
        <v>30</v>
      </c>
      <c r="O142" s="547">
        <v>30</v>
      </c>
      <c r="P142" s="132">
        <v>30</v>
      </c>
      <c r="Q142" s="132">
        <v>30</v>
      </c>
      <c r="R142" s="132">
        <v>30</v>
      </c>
      <c r="S142" s="132">
        <v>30</v>
      </c>
      <c r="T142" s="132">
        <v>30</v>
      </c>
    </row>
    <row r="143" spans="1:20" ht="12" hidden="1" customHeight="1" collapsed="1" x14ac:dyDescent="0.2">
      <c r="A143" s="44"/>
      <c r="B143" s="84">
        <v>620</v>
      </c>
      <c r="C143" s="50" t="s">
        <v>52</v>
      </c>
      <c r="D143" s="51"/>
      <c r="E143" s="54"/>
      <c r="F143" s="51"/>
      <c r="G143" s="51">
        <f>SUM(G144:G152)</f>
        <v>172</v>
      </c>
      <c r="H143" s="52">
        <f>SUM(H144:H152)</f>
        <v>5.5010779790385058</v>
      </c>
      <c r="I143" s="8">
        <f>SUM(I144:I152)</f>
        <v>259.88</v>
      </c>
      <c r="J143" s="131"/>
      <c r="L143" s="53"/>
      <c r="M143" s="548">
        <f t="shared" ref="M143:T143" si="18">M144+M145+M146+M147+M148+M149+M150+M151</f>
        <v>310</v>
      </c>
      <c r="N143" s="548">
        <f t="shared" si="18"/>
        <v>390</v>
      </c>
      <c r="O143" s="548">
        <f t="shared" si="18"/>
        <v>390</v>
      </c>
      <c r="P143" s="131">
        <f t="shared" si="18"/>
        <v>390</v>
      </c>
      <c r="Q143" s="131">
        <f t="shared" si="18"/>
        <v>310</v>
      </c>
      <c r="R143" s="131">
        <f t="shared" si="18"/>
        <v>310</v>
      </c>
      <c r="S143" s="131">
        <f t="shared" si="18"/>
        <v>310</v>
      </c>
      <c r="T143" s="131">
        <f t="shared" si="18"/>
        <v>310</v>
      </c>
    </row>
    <row r="144" spans="1:20" ht="12" hidden="1" customHeight="1" outlineLevel="1" x14ac:dyDescent="0.2">
      <c r="A144" s="44"/>
      <c r="B144" s="45">
        <v>623</v>
      </c>
      <c r="C144" s="11" t="s">
        <v>84</v>
      </c>
      <c r="D144" s="20">
        <v>76</v>
      </c>
      <c r="E144" s="66">
        <v>0.1</v>
      </c>
      <c r="F144" s="20">
        <f t="shared" si="17"/>
        <v>76</v>
      </c>
      <c r="G144" s="6">
        <v>47</v>
      </c>
      <c r="H144" s="74">
        <f t="shared" ref="H144:H151" si="19">+G144/D144</f>
        <v>0.61842105263157898</v>
      </c>
      <c r="I144" s="4">
        <f>+F144</f>
        <v>76</v>
      </c>
      <c r="J144" s="132">
        <v>20</v>
      </c>
      <c r="L144" s="66">
        <v>0.1</v>
      </c>
      <c r="M144" s="547">
        <v>30</v>
      </c>
      <c r="N144" s="547">
        <v>40</v>
      </c>
      <c r="O144" s="547">
        <v>40</v>
      </c>
      <c r="P144" s="132">
        <v>40</v>
      </c>
      <c r="Q144" s="132">
        <v>30</v>
      </c>
      <c r="R144" s="132">
        <v>30</v>
      </c>
      <c r="S144" s="132">
        <v>30</v>
      </c>
      <c r="T144" s="132">
        <v>30</v>
      </c>
    </row>
    <row r="145" spans="1:20" ht="12" hidden="1" customHeight="1" outlineLevel="1" x14ac:dyDescent="0.2">
      <c r="A145" s="44"/>
      <c r="B145" s="45" t="s">
        <v>3</v>
      </c>
      <c r="C145" s="11" t="s">
        <v>85</v>
      </c>
      <c r="D145" s="20">
        <v>11</v>
      </c>
      <c r="E145" s="67">
        <v>1.4E-2</v>
      </c>
      <c r="F145" s="20">
        <f t="shared" si="17"/>
        <v>11</v>
      </c>
      <c r="G145" s="6">
        <v>6</v>
      </c>
      <c r="H145" s="74">
        <f t="shared" si="19"/>
        <v>0.54545454545454541</v>
      </c>
      <c r="I145" s="4">
        <f>+F145</f>
        <v>11</v>
      </c>
      <c r="J145" s="132">
        <v>20</v>
      </c>
      <c r="L145" s="67">
        <v>1.4E-2</v>
      </c>
      <c r="M145" s="547">
        <v>30</v>
      </c>
      <c r="N145" s="547">
        <v>40</v>
      </c>
      <c r="O145" s="547">
        <v>40</v>
      </c>
      <c r="P145" s="132">
        <v>40</v>
      </c>
      <c r="Q145" s="132">
        <v>30</v>
      </c>
      <c r="R145" s="132">
        <v>30</v>
      </c>
      <c r="S145" s="132">
        <v>30</v>
      </c>
      <c r="T145" s="132">
        <v>30</v>
      </c>
    </row>
    <row r="146" spans="1:20" ht="12" hidden="1" customHeight="1" outlineLevel="1" x14ac:dyDescent="0.2">
      <c r="A146" s="44"/>
      <c r="B146" s="45" t="s">
        <v>4</v>
      </c>
      <c r="C146" s="11" t="s">
        <v>86</v>
      </c>
      <c r="D146" s="20">
        <f>760*16%</f>
        <v>121.60000000000001</v>
      </c>
      <c r="E146" s="66">
        <v>0.14000000000000001</v>
      </c>
      <c r="F146" s="20">
        <f t="shared" si="17"/>
        <v>121.60000000000001</v>
      </c>
      <c r="G146" s="6">
        <v>67</v>
      </c>
      <c r="H146" s="74">
        <f t="shared" si="19"/>
        <v>0.55098684210526316</v>
      </c>
      <c r="I146" s="4">
        <v>95</v>
      </c>
      <c r="J146" s="132">
        <v>20</v>
      </c>
      <c r="L146" s="66">
        <v>0.14000000000000001</v>
      </c>
      <c r="M146" s="547">
        <v>30</v>
      </c>
      <c r="N146" s="547">
        <v>40</v>
      </c>
      <c r="O146" s="547">
        <v>40</v>
      </c>
      <c r="P146" s="132">
        <v>40</v>
      </c>
      <c r="Q146" s="132">
        <v>30</v>
      </c>
      <c r="R146" s="132">
        <v>30</v>
      </c>
      <c r="S146" s="132">
        <v>30</v>
      </c>
      <c r="T146" s="132">
        <v>30</v>
      </c>
    </row>
    <row r="147" spans="1:20" ht="12" hidden="1" customHeight="1" outlineLevel="1" x14ac:dyDescent="0.2">
      <c r="A147" s="44"/>
      <c r="B147" s="10">
        <v>625003</v>
      </c>
      <c r="C147" s="11" t="s">
        <v>87</v>
      </c>
      <c r="D147" s="20">
        <f>0.8%*760</f>
        <v>6.08</v>
      </c>
      <c r="E147" s="66">
        <v>8.0000000000000002E-3</v>
      </c>
      <c r="F147" s="20">
        <f t="shared" si="17"/>
        <v>6.08</v>
      </c>
      <c r="G147" s="6">
        <v>4</v>
      </c>
      <c r="H147" s="74">
        <f t="shared" si="19"/>
        <v>0.65789473684210531</v>
      </c>
      <c r="I147" s="4">
        <f>+F147</f>
        <v>6.08</v>
      </c>
      <c r="J147" s="132">
        <v>50</v>
      </c>
      <c r="L147" s="66">
        <v>8.0000000000000002E-3</v>
      </c>
      <c r="M147" s="547">
        <v>60</v>
      </c>
      <c r="N147" s="547">
        <v>70</v>
      </c>
      <c r="O147" s="547">
        <v>70</v>
      </c>
      <c r="P147" s="132">
        <v>70</v>
      </c>
      <c r="Q147" s="132">
        <v>60</v>
      </c>
      <c r="R147" s="132">
        <v>60</v>
      </c>
      <c r="S147" s="132">
        <v>60</v>
      </c>
      <c r="T147" s="132">
        <v>60</v>
      </c>
    </row>
    <row r="148" spans="1:20" ht="12" hidden="1" customHeight="1" outlineLevel="1" x14ac:dyDescent="0.2">
      <c r="A148" s="44"/>
      <c r="B148" s="10">
        <v>625004</v>
      </c>
      <c r="C148" s="11" t="s">
        <v>88</v>
      </c>
      <c r="D148" s="20">
        <f>3%*760</f>
        <v>22.8</v>
      </c>
      <c r="E148" s="66">
        <v>0.03</v>
      </c>
      <c r="F148" s="20">
        <f t="shared" si="17"/>
        <v>22.8</v>
      </c>
      <c r="G148" s="6">
        <v>14</v>
      </c>
      <c r="H148" s="74">
        <f t="shared" si="19"/>
        <v>0.61403508771929827</v>
      </c>
      <c r="I148" s="4">
        <f>+F148</f>
        <v>22.8</v>
      </c>
      <c r="J148" s="132">
        <v>30</v>
      </c>
      <c r="L148" s="66">
        <v>0.03</v>
      </c>
      <c r="M148" s="547">
        <v>40</v>
      </c>
      <c r="N148" s="547">
        <v>50</v>
      </c>
      <c r="O148" s="547">
        <v>50</v>
      </c>
      <c r="P148" s="132">
        <v>50</v>
      </c>
      <c r="Q148" s="132">
        <v>40</v>
      </c>
      <c r="R148" s="132">
        <v>40</v>
      </c>
      <c r="S148" s="132">
        <v>40</v>
      </c>
      <c r="T148" s="132">
        <v>40</v>
      </c>
    </row>
    <row r="149" spans="1:20" ht="12" hidden="1" customHeight="1" outlineLevel="1" x14ac:dyDescent="0.2">
      <c r="A149" s="44"/>
      <c r="B149" s="10">
        <v>625005</v>
      </c>
      <c r="C149" s="11" t="s">
        <v>89</v>
      </c>
      <c r="D149" s="20">
        <v>7</v>
      </c>
      <c r="E149" s="66"/>
      <c r="F149" s="20">
        <f t="shared" si="17"/>
        <v>7</v>
      </c>
      <c r="G149" s="6">
        <v>5</v>
      </c>
      <c r="H149" s="74">
        <f t="shared" si="19"/>
        <v>0.7142857142857143</v>
      </c>
      <c r="I149" s="4">
        <f>+F149</f>
        <v>7</v>
      </c>
      <c r="J149" s="132">
        <v>30</v>
      </c>
      <c r="L149" s="66"/>
      <c r="M149" s="547">
        <v>40</v>
      </c>
      <c r="N149" s="547">
        <v>50</v>
      </c>
      <c r="O149" s="547">
        <v>50</v>
      </c>
      <c r="P149" s="132">
        <v>50</v>
      </c>
      <c r="Q149" s="132">
        <v>40</v>
      </c>
      <c r="R149" s="132">
        <v>40</v>
      </c>
      <c r="S149" s="132">
        <v>40</v>
      </c>
      <c r="T149" s="132">
        <v>40</v>
      </c>
    </row>
    <row r="150" spans="1:20" ht="12" hidden="1" customHeight="1" outlineLevel="1" x14ac:dyDescent="0.2">
      <c r="A150" s="44"/>
      <c r="B150" s="10">
        <v>625007</v>
      </c>
      <c r="C150" s="11" t="s">
        <v>90</v>
      </c>
      <c r="D150" s="20">
        <v>20</v>
      </c>
      <c r="E150" s="67">
        <v>4.7500000000000001E-2</v>
      </c>
      <c r="F150" s="20">
        <f t="shared" si="17"/>
        <v>20</v>
      </c>
      <c r="G150" s="6">
        <v>22</v>
      </c>
      <c r="H150" s="74">
        <f t="shared" si="19"/>
        <v>1.1000000000000001</v>
      </c>
      <c r="I150" s="4">
        <f>+G150+10</f>
        <v>32</v>
      </c>
      <c r="J150" s="132">
        <v>30</v>
      </c>
      <c r="L150" s="67">
        <v>4.7500000000000001E-2</v>
      </c>
      <c r="M150" s="547">
        <v>40</v>
      </c>
      <c r="N150" s="547">
        <v>50</v>
      </c>
      <c r="O150" s="547">
        <v>50</v>
      </c>
      <c r="P150" s="132">
        <v>50</v>
      </c>
      <c r="Q150" s="132">
        <v>40</v>
      </c>
      <c r="R150" s="132">
        <v>40</v>
      </c>
      <c r="S150" s="132">
        <v>40</v>
      </c>
      <c r="T150" s="132">
        <v>40</v>
      </c>
    </row>
    <row r="151" spans="1:20" ht="12" hidden="1" customHeight="1" outlineLevel="1" x14ac:dyDescent="0.2">
      <c r="A151" s="44"/>
      <c r="B151" s="45">
        <v>627</v>
      </c>
      <c r="C151" s="11" t="s">
        <v>91</v>
      </c>
      <c r="D151" s="20">
        <v>10</v>
      </c>
      <c r="E151" s="66">
        <v>0.01</v>
      </c>
      <c r="F151" s="20">
        <f t="shared" si="17"/>
        <v>10</v>
      </c>
      <c r="G151" s="6">
        <v>7</v>
      </c>
      <c r="H151" s="74">
        <f t="shared" si="19"/>
        <v>0.7</v>
      </c>
      <c r="I151" s="4">
        <f>+F151</f>
        <v>10</v>
      </c>
      <c r="J151" s="132">
        <v>30</v>
      </c>
      <c r="L151" s="66">
        <v>0.01</v>
      </c>
      <c r="M151" s="547">
        <v>40</v>
      </c>
      <c r="N151" s="547">
        <v>50</v>
      </c>
      <c r="O151" s="547">
        <v>50</v>
      </c>
      <c r="P151" s="132">
        <v>50</v>
      </c>
      <c r="Q151" s="132">
        <v>40</v>
      </c>
      <c r="R151" s="132">
        <v>40</v>
      </c>
      <c r="S151" s="132">
        <v>40</v>
      </c>
      <c r="T151" s="132">
        <v>40</v>
      </c>
    </row>
    <row r="152" spans="1:20" ht="12" hidden="1" customHeight="1" outlineLevel="1" x14ac:dyDescent="0.2">
      <c r="A152" s="44"/>
      <c r="B152" s="45"/>
      <c r="C152" s="11"/>
      <c r="D152" s="20"/>
      <c r="E152" s="66"/>
      <c r="F152" s="20"/>
      <c r="G152" s="6"/>
      <c r="H152" s="74"/>
      <c r="I152" s="4">
        <v>0</v>
      </c>
      <c r="J152" s="131"/>
      <c r="L152" s="53"/>
      <c r="M152" s="548"/>
      <c r="N152" s="548"/>
      <c r="O152" s="548"/>
      <c r="P152" s="131"/>
      <c r="Q152" s="131"/>
      <c r="R152" s="131"/>
      <c r="S152" s="131"/>
      <c r="T152" s="131"/>
    </row>
    <row r="153" spans="1:20" ht="12" hidden="1" customHeight="1" collapsed="1" x14ac:dyDescent="0.2">
      <c r="A153" s="44"/>
      <c r="B153" s="49">
        <v>633</v>
      </c>
      <c r="C153" s="69" t="s">
        <v>46</v>
      </c>
      <c r="D153" s="61"/>
      <c r="E153" s="69"/>
      <c r="F153" s="61">
        <f t="shared" si="17"/>
        <v>0</v>
      </c>
      <c r="G153" s="61">
        <f>SUM(G154:G156)</f>
        <v>167</v>
      </c>
      <c r="H153" s="63">
        <f>SUM(H154:H156)</f>
        <v>2.7901856763925732</v>
      </c>
      <c r="I153" s="64">
        <f>SUM(I154:I156)</f>
        <v>245</v>
      </c>
      <c r="J153" s="131"/>
      <c r="L153" s="53"/>
      <c r="M153" s="548">
        <f t="shared" ref="M153:T153" si="20">M158</f>
        <v>30</v>
      </c>
      <c r="N153" s="548">
        <f t="shared" si="20"/>
        <v>40</v>
      </c>
      <c r="O153" s="548">
        <f t="shared" si="20"/>
        <v>40</v>
      </c>
      <c r="P153" s="131">
        <f t="shared" si="20"/>
        <v>40</v>
      </c>
      <c r="Q153" s="131">
        <f t="shared" si="20"/>
        <v>30</v>
      </c>
      <c r="R153" s="131">
        <f t="shared" si="20"/>
        <v>30</v>
      </c>
      <c r="S153" s="131">
        <f t="shared" si="20"/>
        <v>30</v>
      </c>
      <c r="T153" s="131">
        <f t="shared" si="20"/>
        <v>30</v>
      </c>
    </row>
    <row r="154" spans="1:20" ht="12" hidden="1" customHeight="1" outlineLevel="1" x14ac:dyDescent="0.2">
      <c r="A154" s="44"/>
      <c r="B154" s="10">
        <v>633010</v>
      </c>
      <c r="C154" s="11" t="s">
        <v>78</v>
      </c>
      <c r="D154" s="46">
        <v>58</v>
      </c>
      <c r="E154" s="47"/>
      <c r="F154" s="20">
        <f t="shared" si="17"/>
        <v>58</v>
      </c>
      <c r="G154" s="6">
        <f>103+16</f>
        <v>119</v>
      </c>
      <c r="H154" s="74">
        <f>+G154/D154</f>
        <v>2.0517241379310347</v>
      </c>
      <c r="I154" s="4">
        <v>160</v>
      </c>
      <c r="J154" s="131"/>
      <c r="L154" s="53"/>
      <c r="M154" s="548"/>
      <c r="N154" s="548"/>
      <c r="O154" s="548"/>
      <c r="P154" s="131"/>
      <c r="Q154" s="131"/>
      <c r="R154" s="131"/>
      <c r="S154" s="131"/>
      <c r="T154" s="131"/>
    </row>
    <row r="155" spans="1:20" ht="12" hidden="1" customHeight="1" outlineLevel="1" x14ac:dyDescent="0.2">
      <c r="A155" s="44"/>
      <c r="B155" s="10">
        <v>633006</v>
      </c>
      <c r="C155" s="11" t="s">
        <v>31</v>
      </c>
      <c r="D155" s="20">
        <v>65</v>
      </c>
      <c r="E155" s="47"/>
      <c r="F155" s="20">
        <f>+D155</f>
        <v>65</v>
      </c>
      <c r="G155" s="6">
        <v>48</v>
      </c>
      <c r="H155" s="74">
        <f>+G155/D155</f>
        <v>0.7384615384615385</v>
      </c>
      <c r="I155" s="4">
        <f>+F155</f>
        <v>65</v>
      </c>
      <c r="J155" s="131"/>
      <c r="L155" s="53"/>
      <c r="M155" s="548"/>
      <c r="N155" s="548"/>
      <c r="O155" s="548"/>
      <c r="P155" s="131"/>
      <c r="Q155" s="131"/>
      <c r="R155" s="131"/>
      <c r="S155" s="131"/>
      <c r="T155" s="131"/>
    </row>
    <row r="156" spans="1:20" ht="12" hidden="1" customHeight="1" outlineLevel="1" x14ac:dyDescent="0.2">
      <c r="A156" s="44"/>
      <c r="B156" s="10">
        <v>633004</v>
      </c>
      <c r="C156" s="11" t="s">
        <v>43</v>
      </c>
      <c r="D156" s="20"/>
      <c r="E156" s="47"/>
      <c r="F156" s="20"/>
      <c r="G156" s="6"/>
      <c r="H156" s="74"/>
      <c r="I156" s="4">
        <v>20</v>
      </c>
      <c r="J156" s="131"/>
      <c r="L156" s="53"/>
      <c r="M156" s="548"/>
      <c r="N156" s="548"/>
      <c r="O156" s="548"/>
      <c r="P156" s="131"/>
      <c r="Q156" s="131"/>
      <c r="R156" s="131"/>
      <c r="S156" s="131"/>
      <c r="T156" s="131"/>
    </row>
    <row r="157" spans="1:20" ht="12" hidden="1" customHeight="1" collapsed="1" x14ac:dyDescent="0.2">
      <c r="A157" s="44"/>
      <c r="B157" s="49">
        <v>637</v>
      </c>
      <c r="C157" s="69" t="s">
        <v>48</v>
      </c>
      <c r="D157" s="61"/>
      <c r="E157" s="69"/>
      <c r="F157" s="62"/>
      <c r="G157" s="77">
        <f>+G158</f>
        <v>0</v>
      </c>
      <c r="H157" s="62">
        <f>+H158</f>
        <v>0</v>
      </c>
      <c r="I157" s="64">
        <f>+I158</f>
        <v>0</v>
      </c>
      <c r="J157" s="131"/>
      <c r="L157" s="53"/>
      <c r="M157" s="548"/>
      <c r="N157" s="548"/>
      <c r="O157" s="548"/>
      <c r="P157" s="131"/>
      <c r="Q157" s="131"/>
      <c r="R157" s="131"/>
      <c r="S157" s="131"/>
      <c r="T157" s="131"/>
    </row>
    <row r="158" spans="1:20" ht="12" hidden="1" customHeight="1" outlineLevel="1" x14ac:dyDescent="0.2">
      <c r="A158" s="44"/>
      <c r="B158" s="10">
        <v>633006</v>
      </c>
      <c r="C158" s="11" t="s">
        <v>98</v>
      </c>
      <c r="D158" s="46">
        <v>15</v>
      </c>
      <c r="E158" s="47"/>
      <c r="F158" s="20">
        <f>+D158</f>
        <v>15</v>
      </c>
      <c r="G158" s="6">
        <v>0</v>
      </c>
      <c r="H158" s="74">
        <f>+G158/D158</f>
        <v>0</v>
      </c>
      <c r="I158" s="4">
        <v>0</v>
      </c>
      <c r="J158" s="132"/>
      <c r="L158" s="53"/>
      <c r="M158" s="547">
        <v>30</v>
      </c>
      <c r="N158" s="547">
        <v>40</v>
      </c>
      <c r="O158" s="547">
        <v>40</v>
      </c>
      <c r="P158" s="132">
        <v>40</v>
      </c>
      <c r="Q158" s="132">
        <v>30</v>
      </c>
      <c r="R158" s="132">
        <v>30</v>
      </c>
      <c r="S158" s="132">
        <v>30</v>
      </c>
      <c r="T158" s="132">
        <v>30</v>
      </c>
    </row>
    <row r="159" spans="1:20" ht="12" hidden="1" customHeight="1" collapsed="1" x14ac:dyDescent="0.2">
      <c r="A159" s="44"/>
      <c r="B159" s="49">
        <v>634</v>
      </c>
      <c r="C159" s="69" t="s">
        <v>8</v>
      </c>
      <c r="D159" s="71"/>
      <c r="E159" s="69"/>
      <c r="F159" s="61"/>
      <c r="G159" s="61">
        <f>SUM(G160:G162)</f>
        <v>268</v>
      </c>
      <c r="H159" s="63">
        <f>SUM(H160:H162)</f>
        <v>2.0033333333333334</v>
      </c>
      <c r="I159" s="64">
        <f>SUM(I160:I162)</f>
        <v>390</v>
      </c>
      <c r="J159" s="131"/>
      <c r="L159" s="53"/>
      <c r="M159" s="548">
        <f t="shared" ref="M159:T159" si="21">M160+M161</f>
        <v>60</v>
      </c>
      <c r="N159" s="548">
        <f t="shared" si="21"/>
        <v>80</v>
      </c>
      <c r="O159" s="548">
        <f t="shared" si="21"/>
        <v>80</v>
      </c>
      <c r="P159" s="131">
        <f t="shared" si="21"/>
        <v>80</v>
      </c>
      <c r="Q159" s="131">
        <f t="shared" si="21"/>
        <v>60</v>
      </c>
      <c r="R159" s="131">
        <f t="shared" si="21"/>
        <v>60</v>
      </c>
      <c r="S159" s="131">
        <f t="shared" si="21"/>
        <v>60</v>
      </c>
      <c r="T159" s="131">
        <f t="shared" si="21"/>
        <v>60</v>
      </c>
    </row>
    <row r="160" spans="1:20" ht="12" hidden="1" customHeight="1" outlineLevel="1" x14ac:dyDescent="0.2">
      <c r="A160" s="44"/>
      <c r="B160" s="10">
        <v>634001</v>
      </c>
      <c r="C160" s="135" t="s">
        <v>101</v>
      </c>
      <c r="D160" s="46">
        <v>150</v>
      </c>
      <c r="E160" s="47"/>
      <c r="F160" s="20">
        <f t="shared" si="17"/>
        <v>150</v>
      </c>
      <c r="G160" s="6">
        <v>138</v>
      </c>
      <c r="H160" s="74">
        <f>+G160/D160</f>
        <v>0.92</v>
      </c>
      <c r="I160" s="4">
        <v>190</v>
      </c>
      <c r="J160" s="132">
        <v>20</v>
      </c>
      <c r="L160" s="53"/>
      <c r="M160" s="547">
        <v>30</v>
      </c>
      <c r="N160" s="547">
        <v>40</v>
      </c>
      <c r="O160" s="547">
        <v>40</v>
      </c>
      <c r="P160" s="132">
        <v>40</v>
      </c>
      <c r="Q160" s="132">
        <v>30</v>
      </c>
      <c r="R160" s="132">
        <v>30</v>
      </c>
      <c r="S160" s="132">
        <v>30</v>
      </c>
      <c r="T160" s="132">
        <v>30</v>
      </c>
    </row>
    <row r="161" spans="1:20" ht="12" hidden="1" customHeight="1" outlineLevel="1" x14ac:dyDescent="0.2">
      <c r="A161" s="44"/>
      <c r="B161" s="10">
        <v>634002</v>
      </c>
      <c r="C161" s="135" t="s">
        <v>102</v>
      </c>
      <c r="D161" s="20">
        <v>120</v>
      </c>
      <c r="E161" s="47"/>
      <c r="F161" s="20">
        <f t="shared" si="17"/>
        <v>120</v>
      </c>
      <c r="G161" s="6">
        <v>130</v>
      </c>
      <c r="H161" s="74">
        <f>+G161/D161</f>
        <v>1.0833333333333333</v>
      </c>
      <c r="I161" s="4">
        <v>150</v>
      </c>
      <c r="J161" s="132">
        <v>25</v>
      </c>
      <c r="L161" s="53"/>
      <c r="M161" s="547">
        <v>30</v>
      </c>
      <c r="N161" s="547">
        <v>40</v>
      </c>
      <c r="O161" s="547">
        <v>40</v>
      </c>
      <c r="P161" s="132">
        <v>40</v>
      </c>
      <c r="Q161" s="132">
        <v>30</v>
      </c>
      <c r="R161" s="132">
        <v>30</v>
      </c>
      <c r="S161" s="132">
        <v>30</v>
      </c>
      <c r="T161" s="132">
        <v>30</v>
      </c>
    </row>
    <row r="162" spans="1:20" ht="12" hidden="1" customHeight="1" collapsed="1" x14ac:dyDescent="0.2">
      <c r="A162" s="44"/>
      <c r="B162" s="10">
        <v>634003</v>
      </c>
      <c r="C162" s="11" t="s">
        <v>103</v>
      </c>
      <c r="D162" s="46">
        <v>50</v>
      </c>
      <c r="E162" s="47"/>
      <c r="F162" s="20">
        <f t="shared" si="17"/>
        <v>50</v>
      </c>
      <c r="G162" s="6">
        <v>0</v>
      </c>
      <c r="H162" s="74">
        <f>+G162/D162</f>
        <v>0</v>
      </c>
      <c r="I162" s="4">
        <f>+F162</f>
        <v>50</v>
      </c>
      <c r="J162" s="134"/>
      <c r="K162" s="217"/>
      <c r="L162" s="218"/>
      <c r="M162" s="552">
        <v>20</v>
      </c>
      <c r="N162" s="552">
        <v>30</v>
      </c>
      <c r="O162" s="552">
        <v>30</v>
      </c>
      <c r="P162" s="134">
        <v>30</v>
      </c>
      <c r="Q162" s="134">
        <v>20</v>
      </c>
      <c r="R162" s="134">
        <v>20</v>
      </c>
      <c r="S162" s="134">
        <v>20</v>
      </c>
      <c r="T162" s="134">
        <v>20</v>
      </c>
    </row>
    <row r="163" spans="1:20" ht="12" hidden="1" customHeight="1" x14ac:dyDescent="0.2">
      <c r="A163" s="44"/>
      <c r="B163" s="49">
        <v>635</v>
      </c>
      <c r="C163" s="69" t="s">
        <v>47</v>
      </c>
      <c r="D163" s="71"/>
      <c r="E163" s="69"/>
      <c r="F163" s="62"/>
      <c r="G163" s="83">
        <f>SUM(G164:G166)</f>
        <v>96</v>
      </c>
      <c r="H163" s="69">
        <f>SUM(H164:H166)</f>
        <v>2.3142857142857145</v>
      </c>
      <c r="I163" s="72">
        <f>SUM(I164:I166)</f>
        <v>136</v>
      </c>
      <c r="J163" s="131"/>
      <c r="L163" s="53"/>
      <c r="M163" s="548">
        <f t="shared" ref="M163:T163" si="22">M164+M165</f>
        <v>450</v>
      </c>
      <c r="N163" s="548">
        <f t="shared" si="22"/>
        <v>550</v>
      </c>
      <c r="O163" s="548">
        <f t="shared" si="22"/>
        <v>550</v>
      </c>
      <c r="P163" s="131">
        <f t="shared" si="22"/>
        <v>550</v>
      </c>
      <c r="Q163" s="131">
        <f t="shared" si="22"/>
        <v>450</v>
      </c>
      <c r="R163" s="131">
        <f t="shared" si="22"/>
        <v>450</v>
      </c>
      <c r="S163" s="131">
        <f t="shared" si="22"/>
        <v>450</v>
      </c>
      <c r="T163" s="131">
        <f t="shared" si="22"/>
        <v>450</v>
      </c>
    </row>
    <row r="164" spans="1:20" ht="11.25" hidden="1" customHeight="1" outlineLevel="1" x14ac:dyDescent="0.2">
      <c r="A164" s="44"/>
      <c r="B164" s="10">
        <v>635004</v>
      </c>
      <c r="C164" s="135" t="s">
        <v>107</v>
      </c>
      <c r="D164" s="46"/>
      <c r="E164" s="47"/>
      <c r="F164" s="46">
        <v>31</v>
      </c>
      <c r="G164" s="6"/>
      <c r="H164" s="74"/>
      <c r="I164" s="6">
        <v>31</v>
      </c>
      <c r="J164" s="133">
        <v>80</v>
      </c>
      <c r="L164" s="53"/>
      <c r="M164" s="547">
        <v>100</v>
      </c>
      <c r="N164" s="547">
        <v>150</v>
      </c>
      <c r="O164" s="547">
        <v>150</v>
      </c>
      <c r="P164" s="133">
        <v>150</v>
      </c>
      <c r="Q164" s="133">
        <v>100</v>
      </c>
      <c r="R164" s="133">
        <v>100</v>
      </c>
      <c r="S164" s="133">
        <v>100</v>
      </c>
      <c r="T164" s="133">
        <v>100</v>
      </c>
    </row>
    <row r="165" spans="1:20" ht="12" hidden="1" customHeight="1" outlineLevel="1" x14ac:dyDescent="0.2">
      <c r="A165" s="44"/>
      <c r="B165" s="10">
        <v>635006</v>
      </c>
      <c r="C165" s="11" t="s">
        <v>106</v>
      </c>
      <c r="D165" s="20">
        <v>105</v>
      </c>
      <c r="E165" s="47"/>
      <c r="F165" s="20">
        <f>+D165</f>
        <v>105</v>
      </c>
      <c r="G165" s="6">
        <v>243</v>
      </c>
      <c r="H165" s="74">
        <f>+G165/D165</f>
        <v>2.3142857142857145</v>
      </c>
      <c r="I165" s="4">
        <f>+F165</f>
        <v>105</v>
      </c>
      <c r="J165" s="132">
        <v>250</v>
      </c>
      <c r="L165" s="53"/>
      <c r="M165" s="547">
        <v>350</v>
      </c>
      <c r="N165" s="547">
        <v>400</v>
      </c>
      <c r="O165" s="547">
        <v>400</v>
      </c>
      <c r="P165" s="132">
        <v>400</v>
      </c>
      <c r="Q165" s="132">
        <v>350</v>
      </c>
      <c r="R165" s="132">
        <v>350</v>
      </c>
      <c r="S165" s="132">
        <v>350</v>
      </c>
      <c r="T165" s="132">
        <v>350</v>
      </c>
    </row>
    <row r="166" spans="1:20" ht="12" hidden="1" customHeight="1" collapsed="1" x14ac:dyDescent="0.2">
      <c r="A166" s="44"/>
      <c r="B166" s="45"/>
      <c r="C166" s="73"/>
      <c r="D166" s="20"/>
      <c r="E166" s="47"/>
      <c r="F166" s="20"/>
      <c r="G166" s="6">
        <f>-197+50</f>
        <v>-147</v>
      </c>
      <c r="H166" s="74"/>
      <c r="I166" s="4"/>
      <c r="J166" s="131"/>
      <c r="L166" s="53"/>
      <c r="M166" s="548"/>
      <c r="N166" s="548"/>
      <c r="O166" s="548"/>
      <c r="P166" s="131"/>
      <c r="Q166" s="131"/>
      <c r="R166" s="131"/>
      <c r="S166" s="131"/>
      <c r="T166" s="131"/>
    </row>
    <row r="167" spans="1:20" ht="12" hidden="1" customHeight="1" x14ac:dyDescent="0.2">
      <c r="A167" s="219" t="s">
        <v>33</v>
      </c>
      <c r="B167" s="220"/>
      <c r="C167" s="221"/>
      <c r="D167" s="222">
        <f>+D169+D173</f>
        <v>0</v>
      </c>
      <c r="E167" s="223">
        <f>+E169+E173</f>
        <v>0</v>
      </c>
      <c r="F167" s="222">
        <f>+F169+F173</f>
        <v>0</v>
      </c>
      <c r="G167" s="222">
        <f>+G168+G172</f>
        <v>130</v>
      </c>
      <c r="H167" s="223">
        <f>+H168+H172</f>
        <v>0</v>
      </c>
      <c r="I167" s="225">
        <f>+I168+I172</f>
        <v>185</v>
      </c>
      <c r="J167" s="235">
        <f>J168+J170+J172</f>
        <v>0</v>
      </c>
      <c r="K167" s="228" t="s">
        <v>63</v>
      </c>
      <c r="L167" s="229"/>
      <c r="M167" s="553">
        <f t="shared" ref="M167:T167" si="23">M168+M170+M172</f>
        <v>110</v>
      </c>
      <c r="N167" s="553">
        <f t="shared" si="23"/>
        <v>130</v>
      </c>
      <c r="O167" s="553">
        <f t="shared" si="23"/>
        <v>130</v>
      </c>
      <c r="P167" s="235">
        <f t="shared" si="23"/>
        <v>130</v>
      </c>
      <c r="Q167" s="235">
        <f t="shared" si="23"/>
        <v>110</v>
      </c>
      <c r="R167" s="235">
        <f t="shared" si="23"/>
        <v>110</v>
      </c>
      <c r="S167" s="235">
        <f t="shared" si="23"/>
        <v>110</v>
      </c>
      <c r="T167" s="235">
        <f t="shared" si="23"/>
        <v>110</v>
      </c>
    </row>
    <row r="168" spans="1:20" ht="12" hidden="1" customHeight="1" x14ac:dyDescent="0.2">
      <c r="A168" s="68"/>
      <c r="B168" s="49">
        <v>610</v>
      </c>
      <c r="C168" s="50" t="s">
        <v>80</v>
      </c>
      <c r="D168" s="51"/>
      <c r="E168" s="54"/>
      <c r="F168" s="51"/>
      <c r="G168" s="51">
        <f>+G169</f>
        <v>64</v>
      </c>
      <c r="H168" s="52">
        <f>+H169</f>
        <v>0</v>
      </c>
      <c r="I168" s="8">
        <f>+I169</f>
        <v>90</v>
      </c>
      <c r="J168" s="131"/>
      <c r="K168" s="14" t="s">
        <v>64</v>
      </c>
      <c r="L168" s="53"/>
      <c r="M168" s="548">
        <f t="shared" ref="M168:T168" si="24">M169</f>
        <v>60</v>
      </c>
      <c r="N168" s="548">
        <f t="shared" si="24"/>
        <v>70</v>
      </c>
      <c r="O168" s="548">
        <f t="shared" si="24"/>
        <v>70</v>
      </c>
      <c r="P168" s="131">
        <f t="shared" si="24"/>
        <v>70</v>
      </c>
      <c r="Q168" s="131">
        <f t="shared" si="24"/>
        <v>60</v>
      </c>
      <c r="R168" s="131">
        <f t="shared" si="24"/>
        <v>60</v>
      </c>
      <c r="S168" s="131">
        <f t="shared" si="24"/>
        <v>60</v>
      </c>
      <c r="T168" s="131">
        <f t="shared" si="24"/>
        <v>60</v>
      </c>
    </row>
    <row r="169" spans="1:20" ht="12" hidden="1" customHeight="1" outlineLevel="1" x14ac:dyDescent="0.2">
      <c r="A169" s="44"/>
      <c r="B169" s="45">
        <v>611</v>
      </c>
      <c r="C169" s="11" t="s">
        <v>82</v>
      </c>
      <c r="D169" s="20">
        <v>0</v>
      </c>
      <c r="E169" s="47"/>
      <c r="F169" s="20">
        <v>0</v>
      </c>
      <c r="G169" s="6">
        <v>64</v>
      </c>
      <c r="H169" s="74"/>
      <c r="I169" s="4">
        <v>90</v>
      </c>
      <c r="J169" s="132">
        <v>50</v>
      </c>
      <c r="K169" s="14" t="s">
        <v>65</v>
      </c>
      <c r="L169" s="53"/>
      <c r="M169" s="547">
        <v>60</v>
      </c>
      <c r="N169" s="547">
        <v>70</v>
      </c>
      <c r="O169" s="547">
        <v>70</v>
      </c>
      <c r="P169" s="132">
        <v>70</v>
      </c>
      <c r="Q169" s="132">
        <v>60</v>
      </c>
      <c r="R169" s="132">
        <v>60</v>
      </c>
      <c r="S169" s="132">
        <v>60</v>
      </c>
      <c r="T169" s="132">
        <v>60</v>
      </c>
    </row>
    <row r="170" spans="1:20" ht="12" hidden="1" customHeight="1" collapsed="1" x14ac:dyDescent="0.2">
      <c r="A170" s="44"/>
      <c r="B170" s="84">
        <v>620</v>
      </c>
      <c r="C170" s="50" t="s">
        <v>52</v>
      </c>
      <c r="D170" s="20"/>
      <c r="E170" s="47"/>
      <c r="F170" s="58"/>
      <c r="G170" s="75"/>
      <c r="H170" s="74"/>
      <c r="I170" s="4"/>
      <c r="J170" s="134"/>
      <c r="L170" s="53"/>
      <c r="M170" s="552">
        <f t="shared" ref="M170:T170" si="25">M171</f>
        <v>20</v>
      </c>
      <c r="N170" s="552">
        <f t="shared" si="25"/>
        <v>25</v>
      </c>
      <c r="O170" s="552">
        <f t="shared" si="25"/>
        <v>25</v>
      </c>
      <c r="P170" s="134">
        <f t="shared" si="25"/>
        <v>25</v>
      </c>
      <c r="Q170" s="134">
        <f t="shared" si="25"/>
        <v>20</v>
      </c>
      <c r="R170" s="134">
        <f t="shared" si="25"/>
        <v>20</v>
      </c>
      <c r="S170" s="134">
        <f t="shared" si="25"/>
        <v>20</v>
      </c>
      <c r="T170" s="134">
        <f t="shared" si="25"/>
        <v>20</v>
      </c>
    </row>
    <row r="171" spans="1:20" ht="12" hidden="1" customHeight="1" outlineLevel="1" x14ac:dyDescent="0.2">
      <c r="A171" s="44"/>
      <c r="B171" s="138">
        <v>620</v>
      </c>
      <c r="C171" s="136" t="s">
        <v>52</v>
      </c>
      <c r="D171" s="20"/>
      <c r="E171" s="47"/>
      <c r="F171" s="58"/>
      <c r="G171" s="75"/>
      <c r="H171" s="74"/>
      <c r="I171" s="4"/>
      <c r="J171" s="132">
        <v>15</v>
      </c>
      <c r="L171" s="53"/>
      <c r="M171" s="547">
        <v>20</v>
      </c>
      <c r="N171" s="547">
        <v>25</v>
      </c>
      <c r="O171" s="547">
        <v>25</v>
      </c>
      <c r="P171" s="132">
        <v>25</v>
      </c>
      <c r="Q171" s="132">
        <v>20</v>
      </c>
      <c r="R171" s="132">
        <v>20</v>
      </c>
      <c r="S171" s="132">
        <v>20</v>
      </c>
      <c r="T171" s="132">
        <v>20</v>
      </c>
    </row>
    <row r="172" spans="1:20" ht="12" hidden="1" customHeight="1" collapsed="1" x14ac:dyDescent="0.2">
      <c r="A172" s="44"/>
      <c r="B172" s="49">
        <v>637</v>
      </c>
      <c r="C172" s="69" t="s">
        <v>48</v>
      </c>
      <c r="D172" s="61"/>
      <c r="E172" s="69"/>
      <c r="F172" s="62"/>
      <c r="G172" s="77">
        <f>+G173</f>
        <v>66</v>
      </c>
      <c r="H172" s="62">
        <f>+H173</f>
        <v>0</v>
      </c>
      <c r="I172" s="64">
        <f>+I173</f>
        <v>95</v>
      </c>
      <c r="J172" s="131"/>
      <c r="L172" s="53"/>
      <c r="M172" s="548">
        <f t="shared" ref="M172:T172" si="26">M173</f>
        <v>30</v>
      </c>
      <c r="N172" s="548">
        <f t="shared" si="26"/>
        <v>35</v>
      </c>
      <c r="O172" s="548">
        <f t="shared" si="26"/>
        <v>35</v>
      </c>
      <c r="P172" s="131">
        <f t="shared" si="26"/>
        <v>35</v>
      </c>
      <c r="Q172" s="131">
        <f t="shared" si="26"/>
        <v>30</v>
      </c>
      <c r="R172" s="131">
        <f t="shared" si="26"/>
        <v>30</v>
      </c>
      <c r="S172" s="131">
        <f t="shared" si="26"/>
        <v>30</v>
      </c>
      <c r="T172" s="131">
        <f t="shared" si="26"/>
        <v>30</v>
      </c>
    </row>
    <row r="173" spans="1:20" ht="12" hidden="1" customHeight="1" outlineLevel="1" x14ac:dyDescent="0.2">
      <c r="A173" s="44"/>
      <c r="B173" s="10">
        <v>637001</v>
      </c>
      <c r="C173" s="11" t="s">
        <v>108</v>
      </c>
      <c r="D173" s="20">
        <v>0</v>
      </c>
      <c r="E173" s="47"/>
      <c r="F173" s="20">
        <v>0</v>
      </c>
      <c r="G173" s="6">
        <v>66</v>
      </c>
      <c r="H173" s="74"/>
      <c r="I173" s="4">
        <v>95</v>
      </c>
      <c r="J173" s="132"/>
      <c r="L173" s="53"/>
      <c r="M173" s="547">
        <v>30</v>
      </c>
      <c r="N173" s="547">
        <v>35</v>
      </c>
      <c r="O173" s="547">
        <v>35</v>
      </c>
      <c r="P173" s="132">
        <v>35</v>
      </c>
      <c r="Q173" s="132">
        <v>30</v>
      </c>
      <c r="R173" s="132">
        <v>30</v>
      </c>
      <c r="S173" s="132">
        <v>30</v>
      </c>
      <c r="T173" s="132">
        <v>30</v>
      </c>
    </row>
    <row r="174" spans="1:20" ht="12" hidden="1" customHeight="1" collapsed="1" x14ac:dyDescent="0.2">
      <c r="A174" s="44"/>
      <c r="B174" s="10"/>
      <c r="C174" s="11"/>
      <c r="D174" s="20"/>
      <c r="E174" s="47"/>
      <c r="F174" s="20"/>
      <c r="G174" s="6"/>
      <c r="H174" s="74"/>
      <c r="I174" s="4"/>
      <c r="J174" s="131"/>
      <c r="L174" s="53"/>
      <c r="M174" s="548"/>
      <c r="N174" s="548"/>
      <c r="O174" s="548"/>
      <c r="P174" s="131"/>
      <c r="Q174" s="131"/>
      <c r="R174" s="131"/>
      <c r="S174" s="131"/>
      <c r="T174" s="131"/>
    </row>
    <row r="175" spans="1:20" ht="12" hidden="1" customHeight="1" x14ac:dyDescent="0.2">
      <c r="A175" s="219" t="s">
        <v>16</v>
      </c>
      <c r="B175" s="220"/>
      <c r="C175" s="221"/>
      <c r="D175" s="222">
        <f>SUM(D177:D178)</f>
        <v>50</v>
      </c>
      <c r="E175" s="223">
        <f>SUM(E177:E178)</f>
        <v>0</v>
      </c>
      <c r="F175" s="222">
        <f>SUM(F177:F178)</f>
        <v>50</v>
      </c>
      <c r="G175" s="222">
        <f>+G176</f>
        <v>26</v>
      </c>
      <c r="H175" s="223">
        <f>+H176</f>
        <v>23</v>
      </c>
      <c r="I175" s="225">
        <f>+I176</f>
        <v>60</v>
      </c>
      <c r="J175" s="227">
        <f>J176</f>
        <v>0</v>
      </c>
      <c r="K175" s="228" t="s">
        <v>53</v>
      </c>
      <c r="L175" s="229"/>
      <c r="M175" s="551">
        <f t="shared" ref="M175:T175" si="27">M176</f>
        <v>50</v>
      </c>
      <c r="N175" s="551">
        <f t="shared" si="27"/>
        <v>70</v>
      </c>
      <c r="O175" s="551">
        <f t="shared" si="27"/>
        <v>70</v>
      </c>
      <c r="P175" s="227">
        <f t="shared" si="27"/>
        <v>70</v>
      </c>
      <c r="Q175" s="227">
        <f t="shared" si="27"/>
        <v>50</v>
      </c>
      <c r="R175" s="227">
        <f t="shared" si="27"/>
        <v>50</v>
      </c>
      <c r="S175" s="227">
        <f t="shared" si="27"/>
        <v>50</v>
      </c>
      <c r="T175" s="227">
        <f t="shared" si="27"/>
        <v>50</v>
      </c>
    </row>
    <row r="176" spans="1:20" ht="12" hidden="1" customHeight="1" x14ac:dyDescent="0.2">
      <c r="A176" s="68"/>
      <c r="B176" s="49">
        <v>637</v>
      </c>
      <c r="C176" s="69" t="s">
        <v>48</v>
      </c>
      <c r="D176" s="61"/>
      <c r="E176" s="69"/>
      <c r="F176" s="62"/>
      <c r="G176" s="77">
        <f>+G177+G178</f>
        <v>26</v>
      </c>
      <c r="H176" s="62">
        <f>+H177+H178</f>
        <v>23</v>
      </c>
      <c r="I176" s="64">
        <f>+I177+I178</f>
        <v>60</v>
      </c>
      <c r="J176" s="131"/>
      <c r="L176" s="53"/>
      <c r="M176" s="548">
        <f t="shared" ref="M176:T176" si="28">M177+M178</f>
        <v>50</v>
      </c>
      <c r="N176" s="548">
        <f t="shared" si="28"/>
        <v>70</v>
      </c>
      <c r="O176" s="548">
        <f t="shared" si="28"/>
        <v>70</v>
      </c>
      <c r="P176" s="131">
        <f t="shared" si="28"/>
        <v>70</v>
      </c>
      <c r="Q176" s="131">
        <f t="shared" si="28"/>
        <v>50</v>
      </c>
      <c r="R176" s="131">
        <f t="shared" si="28"/>
        <v>50</v>
      </c>
      <c r="S176" s="131">
        <f t="shared" si="28"/>
        <v>50</v>
      </c>
      <c r="T176" s="131">
        <f t="shared" si="28"/>
        <v>50</v>
      </c>
    </row>
    <row r="177" spans="1:20" ht="12" hidden="1" customHeight="1" outlineLevel="1" x14ac:dyDescent="0.2">
      <c r="A177" s="44"/>
      <c r="B177" s="10">
        <v>637004</v>
      </c>
      <c r="C177" s="11" t="s">
        <v>109</v>
      </c>
      <c r="D177" s="20">
        <v>10</v>
      </c>
      <c r="E177" s="47"/>
      <c r="F177" s="20">
        <f>+D177</f>
        <v>10</v>
      </c>
      <c r="G177" s="6">
        <v>0</v>
      </c>
      <c r="H177" s="47"/>
      <c r="I177" s="4">
        <v>10</v>
      </c>
      <c r="J177" s="132"/>
      <c r="L177" s="53"/>
      <c r="M177" s="547">
        <v>30</v>
      </c>
      <c r="N177" s="547">
        <v>40</v>
      </c>
      <c r="O177" s="547">
        <v>40</v>
      </c>
      <c r="P177" s="132">
        <v>40</v>
      </c>
      <c r="Q177" s="132">
        <v>30</v>
      </c>
      <c r="R177" s="132">
        <v>30</v>
      </c>
      <c r="S177" s="132">
        <v>30</v>
      </c>
      <c r="T177" s="132">
        <v>30</v>
      </c>
    </row>
    <row r="178" spans="1:20" ht="12" hidden="1" customHeight="1" outlineLevel="1" x14ac:dyDescent="0.2">
      <c r="A178" s="44"/>
      <c r="B178" s="10">
        <v>637005</v>
      </c>
      <c r="C178" s="81" t="s">
        <v>110</v>
      </c>
      <c r="D178" s="20">
        <v>40</v>
      </c>
      <c r="E178" s="47"/>
      <c r="F178" s="20">
        <f>+D178</f>
        <v>40</v>
      </c>
      <c r="G178" s="6">
        <v>26</v>
      </c>
      <c r="H178" s="47">
        <v>23</v>
      </c>
      <c r="I178" s="4">
        <v>50</v>
      </c>
      <c r="J178" s="132"/>
      <c r="L178" s="53"/>
      <c r="M178" s="547">
        <v>20</v>
      </c>
      <c r="N178" s="547">
        <v>30</v>
      </c>
      <c r="O178" s="547">
        <v>30</v>
      </c>
      <c r="P178" s="132">
        <v>30</v>
      </c>
      <c r="Q178" s="132">
        <v>20</v>
      </c>
      <c r="R178" s="132">
        <v>20</v>
      </c>
      <c r="S178" s="132">
        <v>20</v>
      </c>
      <c r="T178" s="132">
        <v>20</v>
      </c>
    </row>
    <row r="179" spans="1:20" ht="12" hidden="1" customHeight="1" collapsed="1" x14ac:dyDescent="0.2">
      <c r="A179" s="44"/>
      <c r="B179" s="45"/>
      <c r="C179" s="11"/>
      <c r="D179" s="75"/>
      <c r="E179" s="47"/>
      <c r="F179" s="47"/>
      <c r="G179" s="47"/>
      <c r="H179" s="47"/>
      <c r="I179" s="6"/>
      <c r="J179" s="130"/>
      <c r="L179" s="53"/>
      <c r="M179" s="548"/>
      <c r="N179" s="548"/>
      <c r="O179" s="548"/>
      <c r="P179" s="130"/>
      <c r="Q179" s="130"/>
      <c r="R179" s="130"/>
      <c r="S179" s="130"/>
      <c r="T179" s="130"/>
    </row>
    <row r="180" spans="1:20" ht="12" customHeight="1" x14ac:dyDescent="0.2">
      <c r="A180" s="438" t="s">
        <v>229</v>
      </c>
      <c r="B180" s="435"/>
      <c r="C180" s="423" t="s">
        <v>230</v>
      </c>
      <c r="D180" s="322"/>
      <c r="E180" s="320"/>
      <c r="F180" s="320"/>
      <c r="G180" s="320"/>
      <c r="H180" s="320"/>
      <c r="I180" s="332"/>
      <c r="J180" s="437"/>
      <c r="K180" s="325"/>
      <c r="L180" s="287"/>
      <c r="M180" s="556">
        <f>M181+M182+M183+M184+M185</f>
        <v>22078.9</v>
      </c>
      <c r="N180" s="556"/>
      <c r="O180" s="556">
        <f>O181+O182+O183+O184</f>
        <v>48634.64</v>
      </c>
      <c r="P180" s="437">
        <f>P181+P182+P183+P184+P185</f>
        <v>38737</v>
      </c>
      <c r="Q180" s="437">
        <f>Q181+Q182+Q183+Q184</f>
        <v>25243</v>
      </c>
      <c r="R180" s="437">
        <f>R181+R182+R183</f>
        <v>38737</v>
      </c>
      <c r="S180" s="437">
        <f>S181+S182+S183</f>
        <v>1850</v>
      </c>
      <c r="T180" s="437">
        <f>T181+T182+T183</f>
        <v>1850</v>
      </c>
    </row>
    <row r="181" spans="1:20" ht="12" customHeight="1" x14ac:dyDescent="0.2">
      <c r="A181" s="44"/>
      <c r="B181" s="45">
        <v>610</v>
      </c>
      <c r="C181" s="11" t="s">
        <v>231</v>
      </c>
      <c r="D181" s="75"/>
      <c r="E181" s="47"/>
      <c r="F181" s="47"/>
      <c r="G181" s="47"/>
      <c r="H181" s="47"/>
      <c r="I181" s="6"/>
      <c r="J181" s="130"/>
      <c r="L181" s="53"/>
      <c r="M181" s="547">
        <v>13846.93</v>
      </c>
      <c r="N181" s="548"/>
      <c r="O181" s="547">
        <v>21777.49</v>
      </c>
      <c r="P181" s="133">
        <v>25000</v>
      </c>
      <c r="Q181" s="133">
        <v>15000</v>
      </c>
      <c r="R181" s="466">
        <v>25000</v>
      </c>
      <c r="S181" s="466">
        <v>1000</v>
      </c>
      <c r="T181" s="466">
        <v>1000</v>
      </c>
    </row>
    <row r="182" spans="1:20" ht="12" customHeight="1" x14ac:dyDescent="0.2">
      <c r="A182" s="44"/>
      <c r="B182" s="45">
        <v>620</v>
      </c>
      <c r="C182" s="11" t="s">
        <v>232</v>
      </c>
      <c r="D182" s="75"/>
      <c r="E182" s="47"/>
      <c r="F182" s="47"/>
      <c r="G182" s="47"/>
      <c r="H182" s="47"/>
      <c r="I182" s="6"/>
      <c r="J182" s="130"/>
      <c r="L182" s="53"/>
      <c r="M182" s="547">
        <v>2736.54</v>
      </c>
      <c r="N182" s="548"/>
      <c r="O182" s="547">
        <v>7925.92</v>
      </c>
      <c r="P182" s="133">
        <v>8737</v>
      </c>
      <c r="Q182" s="133">
        <v>5243</v>
      </c>
      <c r="R182" s="466">
        <v>8737</v>
      </c>
      <c r="S182" s="466">
        <v>350</v>
      </c>
      <c r="T182" s="466">
        <v>350</v>
      </c>
    </row>
    <row r="183" spans="1:20" ht="12" customHeight="1" x14ac:dyDescent="0.2">
      <c r="A183" s="44"/>
      <c r="B183" s="45">
        <v>630</v>
      </c>
      <c r="C183" s="11" t="s">
        <v>5</v>
      </c>
      <c r="D183" s="75"/>
      <c r="E183" s="47"/>
      <c r="F183" s="47"/>
      <c r="G183" s="47"/>
      <c r="H183" s="47"/>
      <c r="I183" s="6"/>
      <c r="J183" s="130"/>
      <c r="L183" s="53"/>
      <c r="M183" s="547">
        <v>5495.43</v>
      </c>
      <c r="N183" s="548"/>
      <c r="O183" s="547">
        <v>18931.23</v>
      </c>
      <c r="P183" s="133">
        <v>5000</v>
      </c>
      <c r="Q183" s="133">
        <v>5000</v>
      </c>
      <c r="R183" s="466">
        <v>5000</v>
      </c>
      <c r="S183" s="466">
        <v>500</v>
      </c>
      <c r="T183" s="466">
        <v>500</v>
      </c>
    </row>
    <row r="184" spans="1:20" ht="12" customHeight="1" x14ac:dyDescent="0.2">
      <c r="A184" s="44"/>
      <c r="B184" s="45">
        <v>640</v>
      </c>
      <c r="C184" s="11" t="s">
        <v>217</v>
      </c>
      <c r="D184" s="75"/>
      <c r="E184" s="47"/>
      <c r="F184" s="47"/>
      <c r="G184" s="47"/>
      <c r="H184" s="47"/>
      <c r="I184" s="6"/>
      <c r="J184" s="130"/>
      <c r="L184" s="53"/>
      <c r="M184" s="547">
        <v>0</v>
      </c>
      <c r="N184" s="548"/>
      <c r="O184" s="547"/>
      <c r="P184" s="130"/>
      <c r="Q184" s="130"/>
      <c r="R184" s="130"/>
      <c r="S184" s="130"/>
      <c r="T184" s="130"/>
    </row>
    <row r="185" spans="1:20" ht="12" customHeight="1" x14ac:dyDescent="0.2">
      <c r="A185" s="44"/>
      <c r="B185" s="45"/>
      <c r="C185" s="11"/>
      <c r="D185" s="75"/>
      <c r="E185" s="47"/>
      <c r="F185" s="47"/>
      <c r="G185" s="47"/>
      <c r="H185" s="47"/>
      <c r="I185" s="6"/>
      <c r="J185" s="130"/>
      <c r="L185" s="53"/>
      <c r="M185" s="548"/>
      <c r="N185" s="548"/>
      <c r="O185" s="547"/>
      <c r="P185" s="130"/>
      <c r="Q185" s="130"/>
      <c r="R185" s="130"/>
      <c r="S185" s="130"/>
      <c r="T185" s="130"/>
    </row>
    <row r="186" spans="1:20" ht="12" customHeight="1" x14ac:dyDescent="0.2">
      <c r="A186" s="283" t="s">
        <v>277</v>
      </c>
      <c r="B186" s="233"/>
      <c r="C186" s="238"/>
      <c r="D186" s="222">
        <f>SUM(D188:D190)</f>
        <v>83</v>
      </c>
      <c r="E186" s="223">
        <f>SUM(E188:E190)</f>
        <v>0</v>
      </c>
      <c r="F186" s="222">
        <f>SUM(F188:F190)</f>
        <v>83</v>
      </c>
      <c r="G186" s="222" t="e">
        <f>+G187+G189</f>
        <v>#REF!</v>
      </c>
      <c r="H186" s="223" t="e">
        <f>+H187+H189</f>
        <v>#REF!</v>
      </c>
      <c r="I186" s="225" t="e">
        <f>+I187+I189</f>
        <v>#REF!</v>
      </c>
      <c r="J186" s="227">
        <f>J187+J189+J191</f>
        <v>560</v>
      </c>
      <c r="K186" s="228" t="s">
        <v>54</v>
      </c>
      <c r="L186" s="229"/>
      <c r="M186" s="551">
        <f>M187+M189+M191</f>
        <v>3476.12</v>
      </c>
      <c r="N186" s="551">
        <f t="shared" ref="N186:T186" si="29">N187+N189+N191</f>
        <v>560</v>
      </c>
      <c r="O186" s="551">
        <f>O187+O189+O191</f>
        <v>17091.54</v>
      </c>
      <c r="P186" s="227">
        <f>P187+P189+P191</f>
        <v>14000</v>
      </c>
      <c r="Q186" s="227">
        <f>Q187+Q189+Q191</f>
        <v>8000</v>
      </c>
      <c r="R186" s="227">
        <f>R187+R189+R191</f>
        <v>10000</v>
      </c>
      <c r="S186" s="227">
        <f t="shared" si="29"/>
        <v>7500</v>
      </c>
      <c r="T186" s="227">
        <f t="shared" si="29"/>
        <v>7500</v>
      </c>
    </row>
    <row r="187" spans="1:20" ht="12" customHeight="1" x14ac:dyDescent="0.2">
      <c r="A187" s="68"/>
      <c r="B187" s="45">
        <v>633.61099999999999</v>
      </c>
      <c r="C187" s="47" t="s">
        <v>46</v>
      </c>
      <c r="D187" s="61"/>
      <c r="E187" s="69"/>
      <c r="F187" s="61">
        <f>+D187</f>
        <v>0</v>
      </c>
      <c r="G187" s="61" t="e">
        <f>+G188+#REF!</f>
        <v>#REF!</v>
      </c>
      <c r="H187" s="63" t="e">
        <f>+H188+#REF!</f>
        <v>#REF!</v>
      </c>
      <c r="I187" s="64" t="e">
        <f>+I188+#REF!</f>
        <v>#REF!</v>
      </c>
      <c r="J187" s="4">
        <v>50</v>
      </c>
      <c r="L187" s="53"/>
      <c r="M187" s="549">
        <v>1295.82</v>
      </c>
      <c r="N187" s="549">
        <v>50</v>
      </c>
      <c r="O187" s="549">
        <v>1168.1600000000001</v>
      </c>
      <c r="P187" s="4">
        <v>1000</v>
      </c>
      <c r="Q187" s="4">
        <v>800</v>
      </c>
      <c r="R187" s="4">
        <v>1000</v>
      </c>
      <c r="S187" s="4">
        <v>500</v>
      </c>
      <c r="T187" s="4">
        <v>500</v>
      </c>
    </row>
    <row r="188" spans="1:20" ht="12" hidden="1" customHeight="1" outlineLevel="1" x14ac:dyDescent="0.2">
      <c r="A188" s="44"/>
      <c r="B188" s="10">
        <v>633006</v>
      </c>
      <c r="C188" s="11" t="s">
        <v>98</v>
      </c>
      <c r="D188" s="20">
        <v>45</v>
      </c>
      <c r="E188" s="47"/>
      <c r="F188" s="20">
        <f>+D188</f>
        <v>45</v>
      </c>
      <c r="G188" s="4">
        <v>44</v>
      </c>
      <c r="H188" s="74">
        <f>+G188/D188</f>
        <v>0.97777777777777775</v>
      </c>
      <c r="I188" s="4">
        <f>+F188</f>
        <v>45</v>
      </c>
      <c r="J188" s="132"/>
      <c r="L188" s="53"/>
      <c r="M188" s="547">
        <v>70</v>
      </c>
      <c r="N188" s="549">
        <v>90</v>
      </c>
      <c r="O188" s="549">
        <v>90</v>
      </c>
      <c r="P188" s="4">
        <v>90</v>
      </c>
      <c r="Q188" s="132">
        <v>70</v>
      </c>
      <c r="R188" s="132">
        <v>70</v>
      </c>
      <c r="S188" s="132">
        <v>70</v>
      </c>
      <c r="T188" s="132">
        <v>70</v>
      </c>
    </row>
    <row r="189" spans="1:20" ht="12" customHeight="1" collapsed="1" x14ac:dyDescent="0.2">
      <c r="A189" s="44"/>
      <c r="B189" s="45">
        <v>635</v>
      </c>
      <c r="C189" s="47" t="s">
        <v>47</v>
      </c>
      <c r="D189" s="71"/>
      <c r="E189" s="69"/>
      <c r="F189" s="62"/>
      <c r="G189" s="77">
        <f>+G190</f>
        <v>48</v>
      </c>
      <c r="H189" s="62">
        <f>+H190</f>
        <v>1.263157894736842</v>
      </c>
      <c r="I189" s="64">
        <f>+I190</f>
        <v>38</v>
      </c>
      <c r="J189" s="4">
        <v>500</v>
      </c>
      <c r="L189" s="53"/>
      <c r="M189" s="549">
        <v>2180.3000000000002</v>
      </c>
      <c r="N189" s="549">
        <v>500</v>
      </c>
      <c r="O189" s="549">
        <v>14891.86</v>
      </c>
      <c r="P189" s="4">
        <v>13000</v>
      </c>
      <c r="Q189" s="4">
        <v>6700</v>
      </c>
      <c r="R189" s="4">
        <v>8000</v>
      </c>
      <c r="S189" s="4">
        <v>7000</v>
      </c>
      <c r="T189" s="4">
        <v>7000</v>
      </c>
    </row>
    <row r="190" spans="1:20" ht="12" hidden="1" customHeight="1" outlineLevel="1" x14ac:dyDescent="0.2">
      <c r="A190" s="44"/>
      <c r="B190" s="10">
        <v>635006</v>
      </c>
      <c r="C190" s="11" t="s">
        <v>106</v>
      </c>
      <c r="D190" s="20">
        <v>38</v>
      </c>
      <c r="E190" s="85"/>
      <c r="F190" s="20">
        <f>+D190</f>
        <v>38</v>
      </c>
      <c r="G190" s="6">
        <v>48</v>
      </c>
      <c r="H190" s="74">
        <f>+G190/D190</f>
        <v>1.263157894736842</v>
      </c>
      <c r="I190" s="4">
        <f>+F190</f>
        <v>38</v>
      </c>
      <c r="J190" s="132">
        <v>10</v>
      </c>
      <c r="L190" s="53"/>
      <c r="M190" s="547">
        <v>20</v>
      </c>
      <c r="N190" s="547">
        <v>30</v>
      </c>
      <c r="O190" s="547">
        <v>30</v>
      </c>
      <c r="P190" s="132">
        <v>30</v>
      </c>
      <c r="Q190" s="132">
        <v>20</v>
      </c>
      <c r="R190" s="132">
        <v>20</v>
      </c>
      <c r="S190" s="132">
        <v>20</v>
      </c>
      <c r="T190" s="132">
        <v>20</v>
      </c>
    </row>
    <row r="191" spans="1:20" ht="12" customHeight="1" collapsed="1" x14ac:dyDescent="0.2">
      <c r="A191" s="44"/>
      <c r="B191" s="10">
        <v>637</v>
      </c>
      <c r="C191" s="11" t="s">
        <v>48</v>
      </c>
      <c r="D191" s="58"/>
      <c r="E191" s="85"/>
      <c r="F191" s="58"/>
      <c r="G191" s="47"/>
      <c r="H191" s="74"/>
      <c r="I191" s="4"/>
      <c r="J191" s="4">
        <v>10</v>
      </c>
      <c r="L191" s="53"/>
      <c r="M191" s="549">
        <v>0</v>
      </c>
      <c r="N191" s="549">
        <v>10</v>
      </c>
      <c r="O191" s="549">
        <v>1031.52</v>
      </c>
      <c r="P191" s="4">
        <v>0</v>
      </c>
      <c r="Q191" s="4">
        <v>500</v>
      </c>
      <c r="R191" s="4">
        <v>1000</v>
      </c>
      <c r="S191" s="4"/>
      <c r="T191" s="4"/>
    </row>
    <row r="192" spans="1:20" ht="12" hidden="1" customHeight="1" x14ac:dyDescent="0.2">
      <c r="A192" s="241" t="s">
        <v>134</v>
      </c>
      <c r="B192" s="240"/>
      <c r="C192" s="238"/>
      <c r="D192" s="242"/>
      <c r="E192" s="243"/>
      <c r="F192" s="242"/>
      <c r="G192" s="225">
        <f>SUM(G193:G196)</f>
        <v>34</v>
      </c>
      <c r="H192" s="226"/>
      <c r="I192" s="225">
        <f>+I193</f>
        <v>10</v>
      </c>
      <c r="J192" s="235">
        <f>J193</f>
        <v>0</v>
      </c>
      <c r="K192" s="228" t="s">
        <v>53</v>
      </c>
      <c r="L192" s="229"/>
      <c r="M192" s="553">
        <f t="shared" ref="M192:T192" si="30">M193</f>
        <v>300</v>
      </c>
      <c r="N192" s="553">
        <f t="shared" si="30"/>
        <v>400</v>
      </c>
      <c r="O192" s="553">
        <f t="shared" si="30"/>
        <v>400</v>
      </c>
      <c r="P192" s="235">
        <f t="shared" si="30"/>
        <v>400</v>
      </c>
      <c r="Q192" s="235">
        <f t="shared" si="30"/>
        <v>300</v>
      </c>
      <c r="R192" s="235">
        <f t="shared" si="30"/>
        <v>300</v>
      </c>
      <c r="S192" s="235">
        <f t="shared" si="30"/>
        <v>300</v>
      </c>
      <c r="T192" s="235">
        <f t="shared" si="30"/>
        <v>300</v>
      </c>
    </row>
    <row r="193" spans="1:20" ht="12" hidden="1" customHeight="1" x14ac:dyDescent="0.2">
      <c r="A193" s="44"/>
      <c r="B193" s="49">
        <v>633</v>
      </c>
      <c r="C193" s="128" t="s">
        <v>121</v>
      </c>
      <c r="D193" s="56"/>
      <c r="E193" s="85"/>
      <c r="F193" s="56"/>
      <c r="G193" s="6">
        <v>34</v>
      </c>
      <c r="H193" s="74"/>
      <c r="I193" s="4">
        <v>10</v>
      </c>
      <c r="J193" s="131"/>
      <c r="L193" s="53"/>
      <c r="M193" s="548">
        <f t="shared" ref="M193:T193" si="31">M194+M195</f>
        <v>300</v>
      </c>
      <c r="N193" s="548">
        <f t="shared" si="31"/>
        <v>400</v>
      </c>
      <c r="O193" s="548">
        <f t="shared" si="31"/>
        <v>400</v>
      </c>
      <c r="P193" s="131">
        <f t="shared" si="31"/>
        <v>400</v>
      </c>
      <c r="Q193" s="131">
        <f t="shared" si="31"/>
        <v>300</v>
      </c>
      <c r="R193" s="131">
        <f t="shared" si="31"/>
        <v>300</v>
      </c>
      <c r="S193" s="131">
        <f t="shared" si="31"/>
        <v>300</v>
      </c>
      <c r="T193" s="131">
        <f t="shared" si="31"/>
        <v>300</v>
      </c>
    </row>
    <row r="194" spans="1:20" ht="12" hidden="1" customHeight="1" outlineLevel="1" x14ac:dyDescent="0.2">
      <c r="A194" s="44"/>
      <c r="B194" s="138">
        <v>633006</v>
      </c>
      <c r="C194" s="135" t="s">
        <v>98</v>
      </c>
      <c r="D194" s="58"/>
      <c r="E194" s="85"/>
      <c r="F194" s="58"/>
      <c r="G194" s="47"/>
      <c r="H194" s="74"/>
      <c r="I194" s="4"/>
      <c r="J194" s="132"/>
      <c r="L194" s="53"/>
      <c r="M194" s="547">
        <v>150</v>
      </c>
      <c r="N194" s="547">
        <v>200</v>
      </c>
      <c r="O194" s="547">
        <v>200</v>
      </c>
      <c r="P194" s="132">
        <v>200</v>
      </c>
      <c r="Q194" s="132">
        <v>150</v>
      </c>
      <c r="R194" s="132">
        <v>150</v>
      </c>
      <c r="S194" s="132">
        <v>150</v>
      </c>
      <c r="T194" s="132">
        <v>150</v>
      </c>
    </row>
    <row r="195" spans="1:20" ht="12" hidden="1" customHeight="1" outlineLevel="1" x14ac:dyDescent="0.2">
      <c r="A195" s="44"/>
      <c r="B195" s="138">
        <v>633009</v>
      </c>
      <c r="C195" s="135" t="s">
        <v>135</v>
      </c>
      <c r="D195" s="58"/>
      <c r="E195" s="85"/>
      <c r="F195" s="58"/>
      <c r="G195" s="47"/>
      <c r="H195" s="74"/>
      <c r="I195" s="4"/>
      <c r="J195" s="132"/>
      <c r="L195" s="53"/>
      <c r="M195" s="547">
        <v>150</v>
      </c>
      <c r="N195" s="547">
        <v>200</v>
      </c>
      <c r="O195" s="547">
        <v>200</v>
      </c>
      <c r="P195" s="132">
        <v>200</v>
      </c>
      <c r="Q195" s="132">
        <v>150</v>
      </c>
      <c r="R195" s="132">
        <v>150</v>
      </c>
      <c r="S195" s="132">
        <v>150</v>
      </c>
      <c r="T195" s="132">
        <v>150</v>
      </c>
    </row>
    <row r="196" spans="1:20" ht="12" hidden="1" customHeight="1" collapsed="1" x14ac:dyDescent="0.2">
      <c r="A196" s="44"/>
      <c r="B196" s="47"/>
      <c r="C196" s="47"/>
      <c r="D196" s="47"/>
      <c r="E196" s="85"/>
      <c r="F196" s="47"/>
      <c r="G196" s="47"/>
      <c r="H196" s="74"/>
      <c r="I196" s="6"/>
      <c r="J196" s="130"/>
      <c r="L196" s="53"/>
      <c r="M196" s="548"/>
      <c r="N196" s="548"/>
      <c r="O196" s="548"/>
      <c r="P196" s="130"/>
      <c r="Q196" s="130"/>
      <c r="R196" s="130"/>
      <c r="S196" s="130"/>
      <c r="T196" s="130"/>
    </row>
    <row r="197" spans="1:20" ht="12" customHeight="1" x14ac:dyDescent="0.2">
      <c r="A197" s="283" t="s">
        <v>136</v>
      </c>
      <c r="B197" s="233"/>
      <c r="C197" s="234"/>
      <c r="D197" s="222">
        <f>SUM(D200:D209)</f>
        <v>2485</v>
      </c>
      <c r="E197" s="223">
        <f>SUM(E200:E209)</f>
        <v>0</v>
      </c>
      <c r="F197" s="222">
        <f>SUM(F200:F209)</f>
        <v>2485</v>
      </c>
      <c r="G197" s="222" t="e">
        <f>+G199+G204+G207</f>
        <v>#REF!</v>
      </c>
      <c r="H197" s="223" t="e">
        <f>+H199+H204+H207</f>
        <v>#REF!</v>
      </c>
      <c r="I197" s="225" t="e">
        <f>+I199+I204+I207</f>
        <v>#REF!</v>
      </c>
      <c r="J197" s="281">
        <f>J199+J202+J203+J204+J207</f>
        <v>670</v>
      </c>
      <c r="K197" s="228" t="s">
        <v>53</v>
      </c>
      <c r="L197" s="229"/>
      <c r="M197" s="557">
        <f>M199+M204+M207</f>
        <v>31869.370000000003</v>
      </c>
      <c r="N197" s="557">
        <f>N199+N202+N203+N204+N207</f>
        <v>630</v>
      </c>
      <c r="O197" s="557">
        <f t="shared" ref="O197:T197" si="32">O199+O204+O207</f>
        <v>39611.29</v>
      </c>
      <c r="P197" s="281">
        <f>P199+P204+P207</f>
        <v>36000</v>
      </c>
      <c r="Q197" s="281">
        <f t="shared" si="32"/>
        <v>45000</v>
      </c>
      <c r="R197" s="281">
        <f t="shared" si="32"/>
        <v>41000</v>
      </c>
      <c r="S197" s="281">
        <f t="shared" si="32"/>
        <v>41000</v>
      </c>
      <c r="T197" s="281">
        <f t="shared" si="32"/>
        <v>34000</v>
      </c>
    </row>
    <row r="198" spans="1:20" ht="12" hidden="1" customHeight="1" x14ac:dyDescent="0.2">
      <c r="A198" s="284"/>
      <c r="B198" s="220"/>
      <c r="C198" s="221"/>
      <c r="D198" s="222"/>
      <c r="E198" s="285"/>
      <c r="F198" s="222"/>
      <c r="G198" s="222"/>
      <c r="H198" s="223"/>
      <c r="I198" s="225"/>
      <c r="J198" s="281"/>
      <c r="K198" s="228"/>
      <c r="L198" s="229"/>
      <c r="M198" s="551"/>
      <c r="N198" s="551"/>
      <c r="O198" s="551"/>
      <c r="P198" s="227"/>
      <c r="Q198" s="227"/>
      <c r="R198" s="227"/>
      <c r="S198" s="227"/>
      <c r="T198" s="227"/>
    </row>
    <row r="199" spans="1:20" ht="12" customHeight="1" x14ac:dyDescent="0.2">
      <c r="A199" s="68"/>
      <c r="B199" s="45">
        <v>633</v>
      </c>
      <c r="C199" s="47" t="s">
        <v>98</v>
      </c>
      <c r="D199" s="61"/>
      <c r="E199" s="69"/>
      <c r="F199" s="61">
        <f>+D199</f>
        <v>0</v>
      </c>
      <c r="G199" s="61">
        <f>+G200+G201</f>
        <v>12</v>
      </c>
      <c r="H199" s="63">
        <f>+H200+H201</f>
        <v>0.44999999999999996</v>
      </c>
      <c r="I199" s="64">
        <f>+I200+I201</f>
        <v>27</v>
      </c>
      <c r="J199" s="4">
        <v>50</v>
      </c>
      <c r="L199" s="53"/>
      <c r="M199" s="549">
        <v>1200.99</v>
      </c>
      <c r="N199" s="549">
        <v>30</v>
      </c>
      <c r="O199" s="549">
        <v>704</v>
      </c>
      <c r="P199" s="4">
        <v>1000</v>
      </c>
      <c r="Q199" s="4">
        <v>1500</v>
      </c>
      <c r="R199" s="4">
        <v>1000</v>
      </c>
      <c r="S199" s="4">
        <v>1000</v>
      </c>
      <c r="T199" s="4">
        <v>1000</v>
      </c>
    </row>
    <row r="200" spans="1:20" ht="12" hidden="1" customHeight="1" outlineLevel="1" x14ac:dyDescent="0.2">
      <c r="A200" s="44"/>
      <c r="B200" s="10">
        <v>633006</v>
      </c>
      <c r="C200" s="11" t="s">
        <v>98</v>
      </c>
      <c r="D200" s="20">
        <v>60</v>
      </c>
      <c r="E200" s="85"/>
      <c r="F200" s="20">
        <f>+D200</f>
        <v>60</v>
      </c>
      <c r="G200" s="6">
        <v>7</v>
      </c>
      <c r="H200" s="74">
        <f>+G200/D200</f>
        <v>0.11666666666666667</v>
      </c>
      <c r="I200" s="4">
        <v>20</v>
      </c>
      <c r="J200" s="132">
        <v>10</v>
      </c>
      <c r="L200" s="53"/>
      <c r="M200" s="547">
        <v>20</v>
      </c>
      <c r="N200" s="549">
        <v>30</v>
      </c>
      <c r="O200" s="549">
        <v>30</v>
      </c>
      <c r="P200" s="4">
        <v>30</v>
      </c>
      <c r="Q200" s="132">
        <v>20</v>
      </c>
      <c r="R200" s="132">
        <v>20</v>
      </c>
      <c r="S200" s="132">
        <v>20</v>
      </c>
      <c r="T200" s="132">
        <v>20</v>
      </c>
    </row>
    <row r="201" spans="1:20" ht="12" hidden="1" customHeight="1" outlineLevel="1" x14ac:dyDescent="0.2">
      <c r="A201" s="44"/>
      <c r="B201" s="10">
        <v>633011</v>
      </c>
      <c r="C201" s="11" t="s">
        <v>122</v>
      </c>
      <c r="D201" s="20">
        <v>15</v>
      </c>
      <c r="E201" s="85"/>
      <c r="F201" s="20">
        <f t="shared" ref="F201:F209" si="33">+D201</f>
        <v>15</v>
      </c>
      <c r="G201" s="6">
        <v>5</v>
      </c>
      <c r="H201" s="74">
        <f>+G201/D201</f>
        <v>0.33333333333333331</v>
      </c>
      <c r="I201" s="4">
        <v>7</v>
      </c>
      <c r="J201" s="132">
        <v>10</v>
      </c>
      <c r="L201" s="53"/>
      <c r="M201" s="547">
        <v>20</v>
      </c>
      <c r="N201" s="549">
        <v>30</v>
      </c>
      <c r="O201" s="549">
        <v>30</v>
      </c>
      <c r="P201" s="4">
        <v>30</v>
      </c>
      <c r="Q201" s="132">
        <v>20</v>
      </c>
      <c r="R201" s="132">
        <v>20</v>
      </c>
      <c r="S201" s="132">
        <v>20</v>
      </c>
      <c r="T201" s="132">
        <v>20</v>
      </c>
    </row>
    <row r="202" spans="1:20" ht="12" hidden="1" customHeight="1" outlineLevel="1" x14ac:dyDescent="0.2">
      <c r="A202" s="44"/>
      <c r="B202" s="10">
        <v>620</v>
      </c>
      <c r="C202" s="11" t="s">
        <v>191</v>
      </c>
      <c r="D202" s="20"/>
      <c r="E202" s="85"/>
      <c r="F202" s="58"/>
      <c r="G202" s="75"/>
      <c r="H202" s="74"/>
      <c r="I202" s="4"/>
      <c r="J202" s="132">
        <v>10</v>
      </c>
      <c r="L202" s="53"/>
      <c r="M202" s="547">
        <v>548</v>
      </c>
      <c r="N202" s="549">
        <v>10</v>
      </c>
      <c r="O202" s="549">
        <v>493</v>
      </c>
      <c r="P202" s="4">
        <v>350</v>
      </c>
      <c r="Q202" s="132">
        <v>600</v>
      </c>
      <c r="R202" s="132">
        <v>350</v>
      </c>
      <c r="S202" s="132">
        <v>350</v>
      </c>
      <c r="T202" s="132">
        <v>350</v>
      </c>
    </row>
    <row r="203" spans="1:20" ht="12" hidden="1" customHeight="1" outlineLevel="1" x14ac:dyDescent="0.2">
      <c r="A203" s="44"/>
      <c r="B203" s="10">
        <v>634</v>
      </c>
      <c r="C203" s="11" t="s">
        <v>192</v>
      </c>
      <c r="D203" s="20"/>
      <c r="E203" s="85"/>
      <c r="F203" s="58"/>
      <c r="G203" s="75"/>
      <c r="H203" s="74"/>
      <c r="I203" s="4"/>
      <c r="J203" s="132">
        <v>150</v>
      </c>
      <c r="L203" s="53"/>
      <c r="M203" s="547">
        <v>4717</v>
      </c>
      <c r="N203" s="549">
        <v>180</v>
      </c>
      <c r="O203" s="549">
        <v>4740</v>
      </c>
      <c r="P203" s="4">
        <v>5000</v>
      </c>
      <c r="Q203" s="132">
        <v>6000</v>
      </c>
      <c r="R203" s="132">
        <v>5000</v>
      </c>
      <c r="S203" s="132">
        <v>5000</v>
      </c>
      <c r="T203" s="132">
        <v>5000</v>
      </c>
    </row>
    <row r="204" spans="1:20" ht="12" customHeight="1" collapsed="1" x14ac:dyDescent="0.2">
      <c r="A204" s="44"/>
      <c r="B204" s="45">
        <v>635</v>
      </c>
      <c r="C204" s="47" t="s">
        <v>278</v>
      </c>
      <c r="D204" s="71"/>
      <c r="E204" s="69"/>
      <c r="F204" s="62"/>
      <c r="G204" s="83" t="e">
        <f>+G205+G206+#REF!</f>
        <v>#REF!</v>
      </c>
      <c r="H204" s="69" t="e">
        <f>+H205+H206+#REF!</f>
        <v>#REF!</v>
      </c>
      <c r="I204" s="72" t="e">
        <f>+I205+I206+#REF!</f>
        <v>#REF!</v>
      </c>
      <c r="J204" s="6">
        <v>120</v>
      </c>
      <c r="L204" s="53"/>
      <c r="M204" s="549">
        <v>0</v>
      </c>
      <c r="N204" s="549">
        <v>110</v>
      </c>
      <c r="O204" s="549"/>
      <c r="P204" s="6">
        <v>0</v>
      </c>
      <c r="Q204" s="6"/>
      <c r="R204" s="6">
        <v>0</v>
      </c>
      <c r="S204" s="6">
        <v>0</v>
      </c>
      <c r="T204" s="6">
        <v>0</v>
      </c>
    </row>
    <row r="205" spans="1:20" ht="12" hidden="1" customHeight="1" outlineLevel="1" x14ac:dyDescent="0.2">
      <c r="A205" s="44"/>
      <c r="B205" s="10">
        <v>635004</v>
      </c>
      <c r="C205" s="11" t="s">
        <v>107</v>
      </c>
      <c r="D205" s="46">
        <v>50</v>
      </c>
      <c r="E205" s="85"/>
      <c r="F205" s="20">
        <f t="shared" si="33"/>
        <v>50</v>
      </c>
      <c r="G205" s="6">
        <v>50</v>
      </c>
      <c r="H205" s="74">
        <f>+G205/D205</f>
        <v>1</v>
      </c>
      <c r="I205" s="6">
        <v>60</v>
      </c>
      <c r="J205" s="133">
        <v>15</v>
      </c>
      <c r="L205" s="53"/>
      <c r="M205" s="547">
        <v>20</v>
      </c>
      <c r="N205" s="549">
        <v>30</v>
      </c>
      <c r="O205" s="549">
        <v>30</v>
      </c>
      <c r="P205" s="6">
        <v>30</v>
      </c>
      <c r="Q205" s="133">
        <v>20</v>
      </c>
      <c r="R205" s="133">
        <v>20</v>
      </c>
      <c r="S205" s="133">
        <v>20</v>
      </c>
      <c r="T205" s="133">
        <v>20</v>
      </c>
    </row>
    <row r="206" spans="1:20" ht="12" hidden="1" customHeight="1" outlineLevel="1" x14ac:dyDescent="0.2">
      <c r="A206" s="44"/>
      <c r="B206" s="10">
        <v>635006</v>
      </c>
      <c r="C206" s="11" t="s">
        <v>106</v>
      </c>
      <c r="D206" s="46">
        <v>100</v>
      </c>
      <c r="E206" s="85"/>
      <c r="F206" s="20">
        <f t="shared" si="33"/>
        <v>100</v>
      </c>
      <c r="G206" s="6">
        <v>89</v>
      </c>
      <c r="H206" s="74">
        <f>+G206/D206</f>
        <v>0.89</v>
      </c>
      <c r="I206" s="6">
        <v>130</v>
      </c>
      <c r="J206" s="133">
        <v>15</v>
      </c>
      <c r="K206" s="14" t="s">
        <v>70</v>
      </c>
      <c r="L206" s="53"/>
      <c r="M206" s="547">
        <v>20</v>
      </c>
      <c r="N206" s="549">
        <v>30</v>
      </c>
      <c r="O206" s="549">
        <v>30</v>
      </c>
      <c r="P206" s="6">
        <v>30</v>
      </c>
      <c r="Q206" s="133">
        <v>20</v>
      </c>
      <c r="R206" s="133">
        <v>20</v>
      </c>
      <c r="S206" s="133">
        <v>20</v>
      </c>
      <c r="T206" s="133">
        <v>20</v>
      </c>
    </row>
    <row r="207" spans="1:20" ht="12" customHeight="1" collapsed="1" x14ac:dyDescent="0.2">
      <c r="A207" s="44"/>
      <c r="B207" s="45">
        <v>637</v>
      </c>
      <c r="C207" s="47" t="s">
        <v>279</v>
      </c>
      <c r="D207" s="61"/>
      <c r="E207" s="69"/>
      <c r="F207" s="62"/>
      <c r="G207" s="77" t="e">
        <f>+G208+G209+#REF!</f>
        <v>#REF!</v>
      </c>
      <c r="H207" s="62" t="e">
        <f>+H208+H209+#REF!</f>
        <v>#REF!</v>
      </c>
      <c r="I207" s="64" t="e">
        <f>+I208+I209+#REF!</f>
        <v>#REF!</v>
      </c>
      <c r="J207" s="4">
        <v>340</v>
      </c>
      <c r="L207" s="53"/>
      <c r="M207" s="549">
        <v>30668.38</v>
      </c>
      <c r="N207" s="549">
        <v>300</v>
      </c>
      <c r="O207" s="549">
        <v>38907.29</v>
      </c>
      <c r="P207" s="4">
        <v>35000</v>
      </c>
      <c r="Q207" s="4">
        <v>43500</v>
      </c>
      <c r="R207" s="4">
        <v>40000</v>
      </c>
      <c r="S207" s="4">
        <v>40000</v>
      </c>
      <c r="T207" s="4">
        <v>33000</v>
      </c>
    </row>
    <row r="208" spans="1:20" ht="12" hidden="1" customHeight="1" outlineLevel="1" x14ac:dyDescent="0.2">
      <c r="A208" s="44"/>
      <c r="B208" s="10">
        <v>637005</v>
      </c>
      <c r="C208" s="11" t="s">
        <v>110</v>
      </c>
      <c r="D208" s="46">
        <v>60</v>
      </c>
      <c r="E208" s="85"/>
      <c r="F208" s="20">
        <f t="shared" si="33"/>
        <v>60</v>
      </c>
      <c r="G208" s="6">
        <v>15</v>
      </c>
      <c r="H208" s="74">
        <f>+G208/D208</f>
        <v>0.25</v>
      </c>
      <c r="I208" s="6">
        <v>60</v>
      </c>
      <c r="J208" s="133">
        <v>25</v>
      </c>
      <c r="L208" s="53"/>
      <c r="M208" s="547">
        <v>30</v>
      </c>
      <c r="N208" s="547">
        <v>40</v>
      </c>
      <c r="O208" s="547">
        <v>40</v>
      </c>
      <c r="P208" s="133">
        <v>40</v>
      </c>
      <c r="Q208" s="133">
        <v>30</v>
      </c>
      <c r="R208" s="133">
        <v>30</v>
      </c>
      <c r="S208" s="133">
        <v>30</v>
      </c>
      <c r="T208" s="133">
        <v>30</v>
      </c>
    </row>
    <row r="209" spans="1:20" ht="12" hidden="1" customHeight="1" outlineLevel="1" x14ac:dyDescent="0.2">
      <c r="A209" s="44"/>
      <c r="B209" s="10">
        <v>637012</v>
      </c>
      <c r="C209" s="11" t="s">
        <v>111</v>
      </c>
      <c r="D209" s="20">
        <v>2200</v>
      </c>
      <c r="E209" s="85"/>
      <c r="F209" s="20">
        <f t="shared" si="33"/>
        <v>2200</v>
      </c>
      <c r="G209" s="6">
        <v>1612</v>
      </c>
      <c r="H209" s="74">
        <f>+G209/D209</f>
        <v>0.73272727272727278</v>
      </c>
      <c r="I209" s="4">
        <f>2260+55</f>
        <v>2315</v>
      </c>
      <c r="J209" s="132">
        <v>25</v>
      </c>
      <c r="L209" s="53"/>
      <c r="M209" s="547">
        <v>30</v>
      </c>
      <c r="N209" s="547">
        <v>40</v>
      </c>
      <c r="O209" s="547">
        <v>40</v>
      </c>
      <c r="P209" s="132">
        <v>40</v>
      </c>
      <c r="Q209" s="132">
        <v>30</v>
      </c>
      <c r="R209" s="132">
        <v>30</v>
      </c>
      <c r="S209" s="132">
        <v>30</v>
      </c>
      <c r="T209" s="132">
        <v>30</v>
      </c>
    </row>
    <row r="210" spans="1:20" ht="12" hidden="1" customHeight="1" collapsed="1" x14ac:dyDescent="0.2">
      <c r="A210" s="44"/>
      <c r="B210" s="47"/>
      <c r="C210" s="47"/>
      <c r="D210" s="47"/>
      <c r="E210" s="47"/>
      <c r="F210" s="47"/>
      <c r="G210" s="47"/>
      <c r="H210" s="74" t="e">
        <f>+G210/D210</f>
        <v>#DIV/0!</v>
      </c>
      <c r="I210" s="6"/>
      <c r="J210" s="130"/>
      <c r="K210" s="14" t="s">
        <v>53</v>
      </c>
      <c r="L210" s="53"/>
      <c r="M210" s="548"/>
      <c r="N210" s="548"/>
      <c r="O210" s="548"/>
      <c r="P210" s="130"/>
      <c r="Q210" s="130"/>
      <c r="R210" s="130"/>
      <c r="S210" s="130"/>
      <c r="T210" s="130"/>
    </row>
    <row r="211" spans="1:20" ht="12" hidden="1" customHeight="1" x14ac:dyDescent="0.2">
      <c r="A211" s="329"/>
      <c r="B211" s="233"/>
      <c r="C211" s="234"/>
      <c r="D211" s="222">
        <f>+D231</f>
        <v>0</v>
      </c>
      <c r="E211" s="223">
        <f>+E231</f>
        <v>0</v>
      </c>
      <c r="F211" s="222">
        <f>+F231</f>
        <v>0</v>
      </c>
      <c r="G211" s="225">
        <f>+G231</f>
        <v>0</v>
      </c>
      <c r="H211" s="226" t="e">
        <f>+G211/D211</f>
        <v>#DIV/0!</v>
      </c>
      <c r="I211" s="225">
        <f>+I231</f>
        <v>0</v>
      </c>
      <c r="J211" s="227">
        <f>J213+J231+J232+J212</f>
        <v>134</v>
      </c>
      <c r="K211" s="228"/>
      <c r="L211" s="229"/>
      <c r="M211" s="551">
        <f>M213+M231+M232+M212</f>
        <v>0</v>
      </c>
      <c r="N211" s="551">
        <f>N213+N231+N232+N212</f>
        <v>140</v>
      </c>
      <c r="O211" s="551">
        <f>O212+O213+O231+O232</f>
        <v>0</v>
      </c>
      <c r="P211" s="227">
        <f>P213+P231+P232+P212</f>
        <v>0</v>
      </c>
      <c r="Q211" s="227">
        <f>Q213+Q231+Q232+Q212</f>
        <v>624</v>
      </c>
      <c r="R211" s="227">
        <f>R213+R231+R232+R212</f>
        <v>0</v>
      </c>
      <c r="S211" s="227">
        <f>S213+S231+S232+S212</f>
        <v>0</v>
      </c>
      <c r="T211" s="227">
        <f>T213+T231+T232+T212</f>
        <v>0</v>
      </c>
    </row>
    <row r="212" spans="1:20" ht="12" hidden="1" customHeight="1" x14ac:dyDescent="0.2">
      <c r="A212" s="78"/>
      <c r="B212" s="45"/>
      <c r="C212" s="11"/>
      <c r="D212" s="222"/>
      <c r="E212" s="285"/>
      <c r="F212" s="285"/>
      <c r="G212" s="285"/>
      <c r="H212" s="226"/>
      <c r="I212" s="225"/>
      <c r="J212" s="4">
        <v>34</v>
      </c>
      <c r="L212" s="53"/>
      <c r="M212" s="549">
        <v>0</v>
      </c>
      <c r="N212" s="549">
        <v>20</v>
      </c>
      <c r="O212" s="549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</row>
    <row r="213" spans="1:20" ht="12" hidden="1" customHeight="1" x14ac:dyDescent="0.2">
      <c r="A213" s="44"/>
      <c r="B213" s="45"/>
      <c r="C213" s="47"/>
      <c r="D213" s="61"/>
      <c r="E213" s="69"/>
      <c r="F213" s="62"/>
      <c r="G213" s="69"/>
      <c r="H213" s="76"/>
      <c r="I213" s="64">
        <f>+I231</f>
        <v>0</v>
      </c>
      <c r="J213" s="4">
        <v>100</v>
      </c>
      <c r="L213" s="53"/>
      <c r="M213" s="549">
        <v>0</v>
      </c>
      <c r="N213" s="549">
        <v>120</v>
      </c>
      <c r="O213" s="549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</row>
    <row r="214" spans="1:20" ht="12" customHeight="1" x14ac:dyDescent="0.2">
      <c r="A214" s="438" t="s">
        <v>233</v>
      </c>
      <c r="B214" s="435"/>
      <c r="C214" s="433" t="s">
        <v>234</v>
      </c>
      <c r="D214" s="439"/>
      <c r="E214" s="440"/>
      <c r="F214" s="441"/>
      <c r="G214" s="440"/>
      <c r="H214" s="442"/>
      <c r="I214" s="279"/>
      <c r="J214" s="324"/>
      <c r="K214" s="325"/>
      <c r="L214" s="287"/>
      <c r="M214" s="550">
        <f>M215</f>
        <v>25</v>
      </c>
      <c r="N214" s="554"/>
      <c r="O214" s="550">
        <f>O215+O216</f>
        <v>0</v>
      </c>
      <c r="P214" s="428">
        <f>P215+P216</f>
        <v>400</v>
      </c>
      <c r="Q214" s="428">
        <f>Q215+Q216</f>
        <v>400</v>
      </c>
      <c r="R214" s="428">
        <f>R215+R216</f>
        <v>400</v>
      </c>
      <c r="S214" s="428">
        <f>S215+S216</f>
        <v>200</v>
      </c>
      <c r="T214" s="428">
        <f>T215+T32</f>
        <v>200</v>
      </c>
    </row>
    <row r="215" spans="1:20" ht="12" customHeight="1" x14ac:dyDescent="0.2">
      <c r="A215" s="44"/>
      <c r="B215" s="45">
        <v>637</v>
      </c>
      <c r="C215" s="47" t="s">
        <v>48</v>
      </c>
      <c r="D215" s="61"/>
      <c r="E215" s="69"/>
      <c r="F215" s="62"/>
      <c r="G215" s="69"/>
      <c r="H215" s="76"/>
      <c r="I215" s="64"/>
      <c r="J215" s="4"/>
      <c r="L215" s="53"/>
      <c r="M215" s="549">
        <v>25</v>
      </c>
      <c r="N215" s="549"/>
      <c r="O215" s="549">
        <v>0</v>
      </c>
      <c r="P215" s="4">
        <v>400</v>
      </c>
      <c r="Q215" s="4">
        <v>400</v>
      </c>
      <c r="R215" s="4">
        <v>400</v>
      </c>
      <c r="S215" s="4">
        <v>200</v>
      </c>
      <c r="T215" s="4">
        <v>200</v>
      </c>
    </row>
    <row r="216" spans="1:20" ht="12" customHeight="1" x14ac:dyDescent="0.2">
      <c r="A216" s="44"/>
      <c r="B216" s="45"/>
      <c r="C216" s="47"/>
      <c r="D216" s="61"/>
      <c r="E216" s="69"/>
      <c r="F216" s="62"/>
      <c r="G216" s="69"/>
      <c r="H216" s="76"/>
      <c r="I216" s="64"/>
      <c r="J216" s="4"/>
      <c r="L216" s="53"/>
      <c r="M216" s="549"/>
      <c r="N216" s="549"/>
      <c r="O216" s="549"/>
      <c r="P216" s="4"/>
      <c r="Q216" s="4"/>
      <c r="R216" s="4"/>
      <c r="S216" s="4"/>
      <c r="T216" s="4"/>
    </row>
    <row r="217" spans="1:20" ht="12" customHeight="1" x14ac:dyDescent="0.2">
      <c r="A217" s="438" t="s">
        <v>235</v>
      </c>
      <c r="B217" s="435"/>
      <c r="C217" s="433" t="s">
        <v>236</v>
      </c>
      <c r="D217" s="439"/>
      <c r="E217" s="440"/>
      <c r="F217" s="441"/>
      <c r="G217" s="440"/>
      <c r="H217" s="442"/>
      <c r="I217" s="279"/>
      <c r="J217" s="324"/>
      <c r="K217" s="325"/>
      <c r="L217" s="287"/>
      <c r="M217" s="550">
        <f>M218+M219+M220+M221+M222</f>
        <v>4358.5300000000007</v>
      </c>
      <c r="N217" s="554"/>
      <c r="O217" s="550">
        <f t="shared" ref="O217:T217" si="34">O218+O219+O220+O221+O222</f>
        <v>2858.88</v>
      </c>
      <c r="P217" s="428">
        <f t="shared" si="34"/>
        <v>3200</v>
      </c>
      <c r="Q217" s="428">
        <f t="shared" si="34"/>
        <v>7200</v>
      </c>
      <c r="R217" s="428">
        <f t="shared" si="34"/>
        <v>5000</v>
      </c>
      <c r="S217" s="428">
        <f t="shared" si="34"/>
        <v>3209</v>
      </c>
      <c r="T217" s="428">
        <f t="shared" si="34"/>
        <v>2709</v>
      </c>
    </row>
    <row r="218" spans="1:20" ht="12" customHeight="1" x14ac:dyDescent="0.2">
      <c r="A218" s="44"/>
      <c r="B218" s="45">
        <v>610</v>
      </c>
      <c r="C218" s="47" t="s">
        <v>237</v>
      </c>
      <c r="D218" s="61"/>
      <c r="E218" s="69"/>
      <c r="F218" s="62"/>
      <c r="G218" s="69"/>
      <c r="H218" s="76"/>
      <c r="I218" s="64"/>
      <c r="J218" s="4"/>
      <c r="L218" s="53"/>
      <c r="M218" s="549">
        <v>0</v>
      </c>
      <c r="N218" s="549"/>
      <c r="O218" s="549">
        <v>0</v>
      </c>
      <c r="P218" s="4"/>
      <c r="Q218" s="4">
        <v>0</v>
      </c>
      <c r="R218" s="4"/>
      <c r="S218" s="4"/>
      <c r="T218" s="4"/>
    </row>
    <row r="219" spans="1:20" ht="12" customHeight="1" x14ac:dyDescent="0.2">
      <c r="A219" s="44"/>
      <c r="B219" s="45">
        <v>620</v>
      </c>
      <c r="C219" s="47" t="s">
        <v>52</v>
      </c>
      <c r="D219" s="61"/>
      <c r="E219" s="69"/>
      <c r="F219" s="62"/>
      <c r="G219" s="69"/>
      <c r="H219" s="76"/>
      <c r="I219" s="64"/>
      <c r="J219" s="4"/>
      <c r="L219" s="53"/>
      <c r="M219" s="549">
        <v>0</v>
      </c>
      <c r="N219" s="549"/>
      <c r="O219" s="549">
        <v>0</v>
      </c>
      <c r="P219" s="4"/>
      <c r="Q219" s="4">
        <v>0</v>
      </c>
      <c r="R219" s="4"/>
      <c r="S219" s="4"/>
      <c r="T219" s="4"/>
    </row>
    <row r="220" spans="1:20" ht="12" customHeight="1" x14ac:dyDescent="0.2">
      <c r="A220" s="44"/>
      <c r="B220" s="45" t="s">
        <v>343</v>
      </c>
      <c r="C220" s="47" t="s">
        <v>121</v>
      </c>
      <c r="D220" s="61"/>
      <c r="E220" s="69"/>
      <c r="F220" s="62"/>
      <c r="G220" s="69"/>
      <c r="H220" s="76"/>
      <c r="I220" s="64"/>
      <c r="J220" s="4"/>
      <c r="L220" s="53"/>
      <c r="M220" s="549">
        <v>318.02</v>
      </c>
      <c r="N220" s="549"/>
      <c r="O220" s="549">
        <v>208.45</v>
      </c>
      <c r="P220" s="4">
        <v>700</v>
      </c>
      <c r="Q220" s="4">
        <v>500</v>
      </c>
      <c r="R220" s="4">
        <v>500</v>
      </c>
      <c r="S220" s="4">
        <v>405</v>
      </c>
      <c r="T220" s="4">
        <v>405</v>
      </c>
    </row>
    <row r="221" spans="1:20" ht="12" customHeight="1" x14ac:dyDescent="0.2">
      <c r="A221" s="44"/>
      <c r="B221" s="45">
        <v>635</v>
      </c>
      <c r="C221" s="47" t="s">
        <v>320</v>
      </c>
      <c r="D221" s="61"/>
      <c r="E221" s="69"/>
      <c r="F221" s="62"/>
      <c r="G221" s="69"/>
      <c r="H221" s="76"/>
      <c r="I221" s="64"/>
      <c r="J221" s="4"/>
      <c r="L221" s="53"/>
      <c r="M221" s="549">
        <v>432.5</v>
      </c>
      <c r="N221" s="549"/>
      <c r="O221" s="549">
        <v>2437.3000000000002</v>
      </c>
      <c r="P221" s="4">
        <v>500</v>
      </c>
      <c r="Q221" s="4">
        <v>2700</v>
      </c>
      <c r="R221" s="4">
        <v>2500</v>
      </c>
      <c r="S221" s="4">
        <v>304</v>
      </c>
      <c r="T221" s="4">
        <v>304</v>
      </c>
    </row>
    <row r="222" spans="1:20" ht="12" customHeight="1" x14ac:dyDescent="0.2">
      <c r="A222" s="44"/>
      <c r="B222" s="45">
        <v>637</v>
      </c>
      <c r="C222" s="47" t="s">
        <v>316</v>
      </c>
      <c r="D222" s="61"/>
      <c r="E222" s="69"/>
      <c r="F222" s="62"/>
      <c r="G222" s="69"/>
      <c r="H222" s="76"/>
      <c r="I222" s="64"/>
      <c r="J222" s="4"/>
      <c r="L222" s="53"/>
      <c r="M222" s="549">
        <v>3608.01</v>
      </c>
      <c r="N222" s="549"/>
      <c r="O222" s="549">
        <v>213.13</v>
      </c>
      <c r="P222" s="4">
        <v>2000</v>
      </c>
      <c r="Q222" s="4">
        <v>4000</v>
      </c>
      <c r="R222" s="4">
        <v>2000</v>
      </c>
      <c r="S222" s="4">
        <v>2500</v>
      </c>
      <c r="T222" s="4">
        <v>2000</v>
      </c>
    </row>
    <row r="223" spans="1:20" ht="12" customHeight="1" x14ac:dyDescent="0.2">
      <c r="A223" s="283" t="s">
        <v>280</v>
      </c>
      <c r="B223" s="369"/>
      <c r="C223" s="370"/>
      <c r="D223" s="61"/>
      <c r="E223" s="69"/>
      <c r="F223" s="62"/>
      <c r="G223" s="69"/>
      <c r="H223" s="76"/>
      <c r="I223" s="64"/>
      <c r="J223" s="4"/>
      <c r="L223" s="53"/>
      <c r="M223" s="558">
        <f>M224+M225+M226+M227+M228</f>
        <v>400</v>
      </c>
      <c r="N223" s="554"/>
      <c r="O223" s="557">
        <f>O224+O225+O226+O227+O228</f>
        <v>579.76</v>
      </c>
      <c r="P223" s="281">
        <v>400</v>
      </c>
      <c r="Q223" s="276">
        <f>Q224+Q225+Q226+Q227+Q228</f>
        <v>1050</v>
      </c>
      <c r="R223" s="276">
        <f>R224+R225+R226+R227+R228</f>
        <v>400</v>
      </c>
      <c r="S223" s="276">
        <f>S224+S225+S226+S227+S228</f>
        <v>400</v>
      </c>
      <c r="T223" s="276">
        <f>T224+T225+T226+T227+T228</f>
        <v>300</v>
      </c>
    </row>
    <row r="224" spans="1:20" ht="12" customHeight="1" x14ac:dyDescent="0.2">
      <c r="A224" s="78"/>
      <c r="B224" s="45">
        <v>633</v>
      </c>
      <c r="C224" s="47" t="s">
        <v>98</v>
      </c>
      <c r="D224" s="61"/>
      <c r="E224" s="69"/>
      <c r="F224" s="62"/>
      <c r="G224" s="69"/>
      <c r="H224" s="76"/>
      <c r="I224" s="64"/>
      <c r="J224" s="4"/>
      <c r="L224" s="53"/>
      <c r="M224" s="549">
        <v>0</v>
      </c>
      <c r="N224" s="549"/>
      <c r="O224" s="549">
        <v>0</v>
      </c>
      <c r="P224" s="4"/>
      <c r="Q224" s="4"/>
      <c r="R224" s="4">
        <v>0</v>
      </c>
      <c r="S224" s="4">
        <v>0</v>
      </c>
      <c r="T224" s="4">
        <v>0</v>
      </c>
    </row>
    <row r="225" spans="1:20" ht="12" customHeight="1" x14ac:dyDescent="0.2">
      <c r="A225" s="78"/>
      <c r="B225" s="45">
        <v>634</v>
      </c>
      <c r="C225" s="47" t="s">
        <v>8</v>
      </c>
      <c r="D225" s="61"/>
      <c r="E225" s="69"/>
      <c r="F225" s="62"/>
      <c r="G225" s="69"/>
      <c r="H225" s="76"/>
      <c r="I225" s="64"/>
      <c r="J225" s="4"/>
      <c r="L225" s="53"/>
      <c r="M225" s="549">
        <v>0</v>
      </c>
      <c r="N225" s="549"/>
      <c r="O225" s="549">
        <v>0</v>
      </c>
      <c r="P225" s="4"/>
      <c r="Q225" s="4">
        <v>0</v>
      </c>
      <c r="R225" s="4">
        <v>0</v>
      </c>
      <c r="S225" s="4">
        <v>0</v>
      </c>
      <c r="T225" s="4">
        <v>0</v>
      </c>
    </row>
    <row r="226" spans="1:20" ht="12" customHeight="1" x14ac:dyDescent="0.2">
      <c r="A226" s="78"/>
      <c r="B226" s="45">
        <v>635</v>
      </c>
      <c r="C226" s="47" t="s">
        <v>304</v>
      </c>
      <c r="D226" s="61"/>
      <c r="E226" s="69"/>
      <c r="F226" s="62"/>
      <c r="G226" s="69"/>
      <c r="H226" s="76"/>
      <c r="I226" s="64"/>
      <c r="J226" s="4"/>
      <c r="L226" s="53"/>
      <c r="M226" s="549">
        <v>400</v>
      </c>
      <c r="N226" s="549"/>
      <c r="O226" s="549">
        <v>579.76</v>
      </c>
      <c r="P226" s="4">
        <v>400</v>
      </c>
      <c r="Q226" s="4">
        <v>1050</v>
      </c>
      <c r="R226" s="4">
        <v>400</v>
      </c>
      <c r="S226" s="4">
        <v>400</v>
      </c>
      <c r="T226" s="4">
        <v>300</v>
      </c>
    </row>
    <row r="227" spans="1:20" ht="12" customHeight="1" x14ac:dyDescent="0.2">
      <c r="A227" s="44"/>
      <c r="B227" s="45">
        <v>637</v>
      </c>
      <c r="C227" s="47" t="s">
        <v>48</v>
      </c>
      <c r="D227" s="61"/>
      <c r="E227" s="69"/>
      <c r="F227" s="62"/>
      <c r="G227" s="69"/>
      <c r="H227" s="76"/>
      <c r="I227" s="64"/>
      <c r="J227" s="4"/>
      <c r="L227" s="53"/>
      <c r="M227" s="549">
        <v>0</v>
      </c>
      <c r="N227" s="549"/>
      <c r="O227" s="549">
        <v>0</v>
      </c>
      <c r="P227" s="4"/>
      <c r="Q227" s="4"/>
      <c r="R227" s="4">
        <v>0</v>
      </c>
      <c r="S227" s="4">
        <v>0</v>
      </c>
      <c r="T227" s="4">
        <v>0</v>
      </c>
    </row>
    <row r="228" spans="1:20" ht="12" customHeight="1" x14ac:dyDescent="0.2">
      <c r="A228" s="44"/>
      <c r="B228" s="45"/>
      <c r="C228" s="47"/>
      <c r="D228" s="61"/>
      <c r="E228" s="69"/>
      <c r="F228" s="62"/>
      <c r="G228" s="69"/>
      <c r="H228" s="76"/>
      <c r="I228" s="64"/>
      <c r="J228" s="4"/>
      <c r="L228" s="53"/>
      <c r="M228" s="549">
        <v>0</v>
      </c>
      <c r="N228" s="549"/>
      <c r="O228" s="549">
        <v>0</v>
      </c>
      <c r="P228" s="4"/>
      <c r="Q228" s="4">
        <v>0</v>
      </c>
      <c r="R228" s="4">
        <v>0</v>
      </c>
      <c r="S228" s="4">
        <v>0</v>
      </c>
      <c r="T228" s="4">
        <v>0</v>
      </c>
    </row>
    <row r="229" spans="1:20" ht="12" customHeight="1" x14ac:dyDescent="0.2">
      <c r="A229" s="421" t="s">
        <v>287</v>
      </c>
      <c r="B229" s="436" t="s">
        <v>302</v>
      </c>
      <c r="C229" s="433"/>
      <c r="D229" s="538"/>
      <c r="E229" s="539"/>
      <c r="F229" s="540"/>
      <c r="G229" s="539"/>
      <c r="H229" s="541"/>
      <c r="I229" s="465"/>
      <c r="J229" s="428"/>
      <c r="K229" s="472"/>
      <c r="L229" s="504"/>
      <c r="M229" s="550">
        <f>M230</f>
        <v>10.8</v>
      </c>
      <c r="N229" s="550"/>
      <c r="O229" s="550">
        <f>O230+O232</f>
        <v>0</v>
      </c>
      <c r="P229" s="428">
        <v>50</v>
      </c>
      <c r="Q229" s="428">
        <f>Q230+Q232</f>
        <v>639</v>
      </c>
      <c r="R229" s="428">
        <f>R230</f>
        <v>50</v>
      </c>
      <c r="S229" s="428">
        <v>0</v>
      </c>
      <c r="T229" s="428">
        <v>0</v>
      </c>
    </row>
    <row r="230" spans="1:20" ht="12" customHeight="1" x14ac:dyDescent="0.2">
      <c r="A230" s="607" t="s">
        <v>301</v>
      </c>
      <c r="B230" s="45">
        <v>632</v>
      </c>
      <c r="C230" s="47" t="s">
        <v>288</v>
      </c>
      <c r="D230" s="61"/>
      <c r="E230" s="69"/>
      <c r="F230" s="62"/>
      <c r="G230" s="69"/>
      <c r="H230" s="76"/>
      <c r="I230" s="64"/>
      <c r="J230" s="4"/>
      <c r="L230" s="53"/>
      <c r="M230" s="549">
        <v>10.8</v>
      </c>
      <c r="N230" s="549"/>
      <c r="O230" s="549">
        <v>0</v>
      </c>
      <c r="P230" s="4">
        <v>50</v>
      </c>
      <c r="Q230" s="4">
        <v>15</v>
      </c>
      <c r="R230" s="4">
        <v>50</v>
      </c>
      <c r="S230" s="4">
        <v>0</v>
      </c>
      <c r="T230" s="4">
        <v>0</v>
      </c>
    </row>
    <row r="231" spans="1:20" ht="12" hidden="1" customHeight="1" outlineLevel="1" x14ac:dyDescent="0.2">
      <c r="A231" s="44"/>
      <c r="B231" s="10"/>
      <c r="C231" s="81"/>
      <c r="D231" s="46"/>
      <c r="E231" s="47"/>
      <c r="F231" s="46"/>
      <c r="G231" s="6"/>
      <c r="H231" s="74"/>
      <c r="I231" s="6"/>
      <c r="J231" s="133"/>
      <c r="L231" s="53"/>
      <c r="M231" s="547"/>
      <c r="N231" s="547"/>
      <c r="O231" s="547"/>
      <c r="P231" s="133"/>
      <c r="Q231" s="133"/>
      <c r="R231" s="133">
        <v>0</v>
      </c>
      <c r="S231" s="133">
        <v>0</v>
      </c>
      <c r="T231" s="133">
        <v>0</v>
      </c>
    </row>
    <row r="232" spans="1:20" ht="12" customHeight="1" collapsed="1" x14ac:dyDescent="0.2">
      <c r="A232" s="44"/>
      <c r="B232" s="10">
        <v>637</v>
      </c>
      <c r="C232" s="11" t="s">
        <v>303</v>
      </c>
      <c r="D232" s="58"/>
      <c r="E232" s="47"/>
      <c r="F232" s="58"/>
      <c r="G232" s="47"/>
      <c r="H232" s="74"/>
      <c r="I232" s="4"/>
      <c r="J232" s="267"/>
      <c r="L232" s="53"/>
      <c r="M232" s="549"/>
      <c r="N232" s="549"/>
      <c r="O232" s="549">
        <v>0</v>
      </c>
      <c r="P232" s="4"/>
      <c r="Q232" s="4">
        <v>624</v>
      </c>
      <c r="R232" s="4">
        <v>0</v>
      </c>
      <c r="S232" s="4">
        <v>0</v>
      </c>
      <c r="T232" s="4">
        <v>0</v>
      </c>
    </row>
    <row r="233" spans="1:20" ht="12" customHeight="1" x14ac:dyDescent="0.2">
      <c r="A233" s="438" t="s">
        <v>238</v>
      </c>
      <c r="B233" s="274"/>
      <c r="C233" s="423" t="s">
        <v>239</v>
      </c>
      <c r="D233" s="331"/>
      <c r="E233" s="320"/>
      <c r="F233" s="331"/>
      <c r="G233" s="320"/>
      <c r="H233" s="323"/>
      <c r="I233" s="324"/>
      <c r="J233" s="443"/>
      <c r="K233" s="325"/>
      <c r="L233" s="287"/>
      <c r="M233" s="550">
        <f>M234+M235</f>
        <v>374.75</v>
      </c>
      <c r="N233" s="554"/>
      <c r="O233" s="550">
        <f t="shared" ref="O233:T233" si="35">O234+O235</f>
        <v>736.96</v>
      </c>
      <c r="P233" s="428">
        <f>P234+P235</f>
        <v>1700</v>
      </c>
      <c r="Q233" s="428">
        <f t="shared" si="35"/>
        <v>999.9</v>
      </c>
      <c r="R233" s="428">
        <f t="shared" si="35"/>
        <v>1700</v>
      </c>
      <c r="S233" s="428">
        <f t="shared" si="35"/>
        <v>1500</v>
      </c>
      <c r="T233" s="428">
        <f t="shared" si="35"/>
        <v>2000</v>
      </c>
    </row>
    <row r="234" spans="1:20" ht="12" customHeight="1" x14ac:dyDescent="0.2">
      <c r="A234" s="44"/>
      <c r="B234" s="10">
        <v>633</v>
      </c>
      <c r="C234" s="11" t="s">
        <v>240</v>
      </c>
      <c r="D234" s="58"/>
      <c r="E234" s="47"/>
      <c r="F234" s="58"/>
      <c r="G234" s="47"/>
      <c r="H234" s="74"/>
      <c r="I234" s="4"/>
      <c r="J234" s="267"/>
      <c r="L234" s="53"/>
      <c r="M234" s="549">
        <v>181.55</v>
      </c>
      <c r="N234" s="549"/>
      <c r="O234" s="549">
        <v>66.760000000000005</v>
      </c>
      <c r="P234" s="4">
        <v>200</v>
      </c>
      <c r="Q234" s="4">
        <v>2.9</v>
      </c>
      <c r="R234" s="4">
        <v>200</v>
      </c>
      <c r="S234" s="4"/>
      <c r="T234" s="4"/>
    </row>
    <row r="235" spans="1:20" ht="12" customHeight="1" x14ac:dyDescent="0.2">
      <c r="A235" s="44"/>
      <c r="B235" s="10" t="s">
        <v>241</v>
      </c>
      <c r="C235" s="11" t="s">
        <v>242</v>
      </c>
      <c r="D235" s="58"/>
      <c r="E235" s="47"/>
      <c r="F235" s="58"/>
      <c r="G235" s="47"/>
      <c r="H235" s="74"/>
      <c r="I235" s="4"/>
      <c r="J235" s="267"/>
      <c r="L235" s="53"/>
      <c r="M235" s="549">
        <v>193.2</v>
      </c>
      <c r="N235" s="549"/>
      <c r="O235" s="549">
        <v>670.2</v>
      </c>
      <c r="P235" s="4">
        <v>1500</v>
      </c>
      <c r="Q235" s="4">
        <v>997</v>
      </c>
      <c r="R235" s="4">
        <v>1500</v>
      </c>
      <c r="S235" s="4">
        <v>1500</v>
      </c>
      <c r="T235" s="4">
        <v>2000</v>
      </c>
    </row>
    <row r="236" spans="1:20" ht="12" customHeight="1" x14ac:dyDescent="0.2">
      <c r="A236" s="283" t="s">
        <v>289</v>
      </c>
      <c r="B236" s="233" t="s">
        <v>270</v>
      </c>
      <c r="C236" s="238"/>
      <c r="D236" s="222"/>
      <c r="E236" s="223"/>
      <c r="F236" s="222"/>
      <c r="G236" s="222"/>
      <c r="H236" s="223"/>
      <c r="I236" s="225"/>
      <c r="J236" s="227"/>
      <c r="K236" s="228"/>
      <c r="L236" s="229"/>
      <c r="M236" s="551">
        <f>M237+M239+M241</f>
        <v>0</v>
      </c>
      <c r="N236" s="551"/>
      <c r="O236" s="551">
        <f>O237+O239+O241</f>
        <v>2119.4</v>
      </c>
      <c r="P236" s="227">
        <f>P237+P239+P241</f>
        <v>200</v>
      </c>
      <c r="Q236" s="227">
        <f>Q237+Q239+Q241</f>
        <v>2200</v>
      </c>
      <c r="R236" s="227">
        <f>R237+R239</f>
        <v>200</v>
      </c>
      <c r="S236" s="227">
        <f>S234+S239</f>
        <v>100</v>
      </c>
      <c r="T236" s="227">
        <f>T237+S239</f>
        <v>100</v>
      </c>
    </row>
    <row r="237" spans="1:20" ht="12" customHeight="1" x14ac:dyDescent="0.2">
      <c r="A237" s="44"/>
      <c r="B237" s="599" t="s">
        <v>296</v>
      </c>
      <c r="C237" s="11" t="s">
        <v>297</v>
      </c>
      <c r="D237" s="61"/>
      <c r="E237" s="69"/>
      <c r="F237" s="61"/>
      <c r="G237" s="61"/>
      <c r="H237" s="63"/>
      <c r="I237" s="64"/>
      <c r="J237" s="4"/>
      <c r="L237" s="53"/>
      <c r="M237" s="549">
        <v>0</v>
      </c>
      <c r="N237" s="549"/>
      <c r="O237" s="549">
        <v>400</v>
      </c>
      <c r="P237" s="4"/>
      <c r="Q237" s="4">
        <v>400</v>
      </c>
      <c r="R237" s="4"/>
      <c r="S237" s="4"/>
      <c r="T237" s="4"/>
    </row>
    <row r="238" spans="1:20" ht="12" hidden="1" customHeight="1" outlineLevel="1" x14ac:dyDescent="0.2">
      <c r="A238" s="44"/>
      <c r="B238" s="45"/>
      <c r="C238" s="11"/>
      <c r="D238" s="20"/>
      <c r="E238" s="47"/>
      <c r="F238" s="20"/>
      <c r="G238" s="6"/>
      <c r="H238" s="74"/>
      <c r="I238" s="4"/>
      <c r="J238" s="132"/>
      <c r="L238" s="53"/>
      <c r="M238" s="547"/>
      <c r="N238" s="549"/>
      <c r="O238" s="549"/>
      <c r="P238" s="4"/>
      <c r="Q238" s="132"/>
      <c r="R238" s="132"/>
      <c r="S238" s="132"/>
      <c r="T238" s="132"/>
    </row>
    <row r="239" spans="1:20" ht="12" customHeight="1" collapsed="1" x14ac:dyDescent="0.2">
      <c r="A239" s="44"/>
      <c r="B239" s="45">
        <v>633</v>
      </c>
      <c r="C239" s="47" t="s">
        <v>98</v>
      </c>
      <c r="D239" s="71"/>
      <c r="E239" s="69"/>
      <c r="F239" s="62"/>
      <c r="G239" s="77"/>
      <c r="H239" s="62"/>
      <c r="I239" s="64"/>
      <c r="J239" s="4"/>
      <c r="L239" s="53"/>
      <c r="M239" s="549">
        <v>0</v>
      </c>
      <c r="N239" s="549"/>
      <c r="O239" s="549">
        <v>18.52</v>
      </c>
      <c r="P239" s="4">
        <v>200</v>
      </c>
      <c r="Q239" s="4">
        <v>100</v>
      </c>
      <c r="R239" s="4">
        <v>200</v>
      </c>
      <c r="S239" s="4">
        <v>100</v>
      </c>
      <c r="T239" s="4">
        <v>100</v>
      </c>
    </row>
    <row r="240" spans="1:20" ht="12" hidden="1" customHeight="1" outlineLevel="1" x14ac:dyDescent="0.2">
      <c r="A240" s="44"/>
      <c r="B240" s="10"/>
      <c r="C240" s="135"/>
      <c r="D240" s="20"/>
      <c r="E240" s="47"/>
      <c r="F240" s="20"/>
      <c r="G240" s="6"/>
      <c r="H240" s="74"/>
      <c r="I240" s="4"/>
      <c r="J240" s="132"/>
      <c r="L240" s="53"/>
      <c r="M240" s="547"/>
      <c r="N240" s="547"/>
      <c r="O240" s="547"/>
      <c r="P240" s="132"/>
      <c r="Q240" s="132"/>
      <c r="R240" s="132"/>
      <c r="S240" s="132"/>
      <c r="T240" s="132"/>
    </row>
    <row r="241" spans="1:20" ht="12" customHeight="1" collapsed="1" x14ac:dyDescent="0.2">
      <c r="A241" s="44"/>
      <c r="B241" s="45">
        <v>635</v>
      </c>
      <c r="C241" s="11" t="s">
        <v>295</v>
      </c>
      <c r="D241" s="47"/>
      <c r="E241" s="47"/>
      <c r="F241" s="47"/>
      <c r="G241" s="47"/>
      <c r="H241" s="74"/>
      <c r="I241" s="6"/>
      <c r="J241" s="130"/>
      <c r="L241" s="53"/>
      <c r="M241" s="549">
        <v>0</v>
      </c>
      <c r="N241" s="549"/>
      <c r="O241" s="549">
        <v>1700.88</v>
      </c>
      <c r="P241" s="6">
        <v>0</v>
      </c>
      <c r="Q241" s="6">
        <v>1700</v>
      </c>
      <c r="R241" s="6"/>
      <c r="S241" s="6"/>
      <c r="T241" s="6"/>
    </row>
    <row r="242" spans="1:20" ht="12" hidden="1" customHeight="1" x14ac:dyDescent="0.2">
      <c r="A242" s="219" t="s">
        <v>137</v>
      </c>
      <c r="B242" s="248"/>
      <c r="C242" s="249"/>
      <c r="D242" s="244">
        <f t="shared" ref="D242:I242" si="36">SUM(D244:D244)</f>
        <v>12</v>
      </c>
      <c r="E242" s="245">
        <f t="shared" si="36"/>
        <v>0</v>
      </c>
      <c r="F242" s="244">
        <f t="shared" si="36"/>
        <v>12</v>
      </c>
      <c r="G242" s="246">
        <f t="shared" si="36"/>
        <v>4</v>
      </c>
      <c r="H242" s="226">
        <f>+G242/D242</f>
        <v>0.33333333333333331</v>
      </c>
      <c r="I242" s="246">
        <f t="shared" si="36"/>
        <v>0</v>
      </c>
      <c r="J242" s="235"/>
      <c r="K242" s="228"/>
      <c r="L242" s="229"/>
      <c r="M242" s="553">
        <f t="shared" ref="M242:T243" si="37">M243</f>
        <v>200</v>
      </c>
      <c r="N242" s="553">
        <f t="shared" si="37"/>
        <v>400</v>
      </c>
      <c r="O242" s="553">
        <f t="shared" si="37"/>
        <v>400</v>
      </c>
      <c r="P242" s="235">
        <f t="shared" si="37"/>
        <v>400</v>
      </c>
      <c r="Q242" s="235">
        <f t="shared" si="37"/>
        <v>200</v>
      </c>
      <c r="R242" s="235">
        <f t="shared" si="37"/>
        <v>200</v>
      </c>
      <c r="S242" s="235">
        <f t="shared" si="37"/>
        <v>200</v>
      </c>
      <c r="T242" s="235">
        <f t="shared" si="37"/>
        <v>200</v>
      </c>
    </row>
    <row r="243" spans="1:20" ht="12" hidden="1" customHeight="1" x14ac:dyDescent="0.2">
      <c r="A243" s="68"/>
      <c r="B243" s="49">
        <v>637</v>
      </c>
      <c r="C243" s="69" t="s">
        <v>48</v>
      </c>
      <c r="D243" s="61"/>
      <c r="E243" s="69"/>
      <c r="F243" s="62"/>
      <c r="G243" s="69"/>
      <c r="H243" s="76"/>
      <c r="I243" s="64"/>
      <c r="J243" s="131"/>
      <c r="L243" s="53"/>
      <c r="M243" s="548">
        <f t="shared" si="37"/>
        <v>200</v>
      </c>
      <c r="N243" s="548">
        <f t="shared" si="37"/>
        <v>400</v>
      </c>
      <c r="O243" s="548">
        <f t="shared" si="37"/>
        <v>400</v>
      </c>
      <c r="P243" s="131">
        <f t="shared" si="37"/>
        <v>400</v>
      </c>
      <c r="Q243" s="131">
        <f t="shared" si="37"/>
        <v>200</v>
      </c>
      <c r="R243" s="131">
        <f t="shared" si="37"/>
        <v>200</v>
      </c>
      <c r="S243" s="131">
        <f t="shared" si="37"/>
        <v>200</v>
      </c>
      <c r="T243" s="131">
        <f t="shared" si="37"/>
        <v>200</v>
      </c>
    </row>
    <row r="244" spans="1:20" ht="12" hidden="1" customHeight="1" outlineLevel="1" x14ac:dyDescent="0.2">
      <c r="A244" s="44"/>
      <c r="B244" s="10">
        <v>637012</v>
      </c>
      <c r="C244" s="11" t="s">
        <v>111</v>
      </c>
      <c r="D244" s="86">
        <v>12</v>
      </c>
      <c r="E244" s="47"/>
      <c r="F244" s="86">
        <f>+D244</f>
        <v>12</v>
      </c>
      <c r="G244" s="6">
        <v>4</v>
      </c>
      <c r="H244" s="74">
        <f>+G244/D244</f>
        <v>0.33333333333333331</v>
      </c>
      <c r="I244" s="4">
        <v>0</v>
      </c>
      <c r="J244" s="132"/>
      <c r="L244" s="53"/>
      <c r="M244" s="547">
        <v>200</v>
      </c>
      <c r="N244" s="547">
        <v>400</v>
      </c>
      <c r="O244" s="547">
        <v>400</v>
      </c>
      <c r="P244" s="132">
        <v>400</v>
      </c>
      <c r="Q244" s="132">
        <v>200</v>
      </c>
      <c r="R244" s="132">
        <v>200</v>
      </c>
      <c r="S244" s="132">
        <v>200</v>
      </c>
      <c r="T244" s="132">
        <v>200</v>
      </c>
    </row>
    <row r="245" spans="1:20" ht="12" hidden="1" customHeight="1" collapsed="1" x14ac:dyDescent="0.2">
      <c r="A245" s="44"/>
      <c r="B245" s="45"/>
      <c r="C245" s="11"/>
      <c r="D245" s="47"/>
      <c r="E245" s="47"/>
      <c r="F245" s="47"/>
      <c r="G245" s="47"/>
      <c r="H245" s="74"/>
      <c r="I245" s="6"/>
      <c r="J245" s="130"/>
      <c r="K245" s="14" t="s">
        <v>53</v>
      </c>
      <c r="L245" s="53"/>
      <c r="M245" s="548"/>
      <c r="N245" s="548"/>
      <c r="O245" s="548"/>
      <c r="P245" s="130"/>
      <c r="Q245" s="130"/>
      <c r="R245" s="130"/>
      <c r="S245" s="130"/>
      <c r="T245" s="130"/>
    </row>
    <row r="246" spans="1:20" ht="12" customHeight="1" x14ac:dyDescent="0.2">
      <c r="A246" s="283" t="s">
        <v>17</v>
      </c>
      <c r="B246" s="273"/>
      <c r="C246" s="249"/>
      <c r="D246" s="222">
        <f>SUM(D248:D251)</f>
        <v>109</v>
      </c>
      <c r="E246" s="223">
        <f>SUM(E248:E251)</f>
        <v>0</v>
      </c>
      <c r="F246" s="222">
        <f>SUM(F248:F251)</f>
        <v>109</v>
      </c>
      <c r="G246" s="222" t="e">
        <f>+G247+G250</f>
        <v>#REF!</v>
      </c>
      <c r="H246" s="223" t="e">
        <f>+H247+H250</f>
        <v>#REF!</v>
      </c>
      <c r="I246" s="225" t="e">
        <f>+I247+I250</f>
        <v>#REF!</v>
      </c>
      <c r="J246" s="227">
        <f>J247+J250+J252</f>
        <v>250</v>
      </c>
      <c r="K246" s="228"/>
      <c r="L246" s="229"/>
      <c r="M246" s="551">
        <f>M247+M250+M252+M254</f>
        <v>6702.59</v>
      </c>
      <c r="N246" s="551">
        <f t="shared" ref="N246:T246" si="38">N247+N250+N252</f>
        <v>260</v>
      </c>
      <c r="O246" s="551">
        <f>O247+O250+O252+O254</f>
        <v>10601.96</v>
      </c>
      <c r="P246" s="227">
        <f>P247+P250+P252+P254</f>
        <v>15000</v>
      </c>
      <c r="Q246" s="227">
        <f>Q247+Q250+Q252+Q254</f>
        <v>12000</v>
      </c>
      <c r="R246" s="227">
        <f>R247+R250+R252+R254</f>
        <v>12000</v>
      </c>
      <c r="S246" s="227">
        <f t="shared" si="38"/>
        <v>15950</v>
      </c>
      <c r="T246" s="227">
        <f t="shared" si="38"/>
        <v>15950</v>
      </c>
    </row>
    <row r="247" spans="1:20" ht="12" customHeight="1" x14ac:dyDescent="0.2">
      <c r="A247" s="68"/>
      <c r="B247" s="457">
        <v>632</v>
      </c>
      <c r="C247" s="135" t="s">
        <v>184</v>
      </c>
      <c r="D247" s="446"/>
      <c r="E247" s="447"/>
      <c r="F247" s="446"/>
      <c r="G247" s="446" t="e">
        <f>+G248+#REF!+G249</f>
        <v>#REF!</v>
      </c>
      <c r="H247" s="448" t="e">
        <f>+H248+#REF!+H249</f>
        <v>#REF!</v>
      </c>
      <c r="I247" s="449" t="e">
        <f>+I248+#REF!+I249</f>
        <v>#REF!</v>
      </c>
      <c r="J247" s="132">
        <f>J248+J249</f>
        <v>180</v>
      </c>
      <c r="K247" s="252"/>
      <c r="L247" s="253"/>
      <c r="M247" s="559">
        <v>5299.67</v>
      </c>
      <c r="N247" s="548">
        <f>N248+N249</f>
        <v>240</v>
      </c>
      <c r="O247" s="547">
        <v>6446.03</v>
      </c>
      <c r="P247" s="449">
        <v>13000</v>
      </c>
      <c r="Q247" s="449">
        <v>7000</v>
      </c>
      <c r="R247" s="449">
        <v>8000</v>
      </c>
      <c r="S247" s="449">
        <v>13250</v>
      </c>
      <c r="T247" s="449">
        <v>13250</v>
      </c>
    </row>
    <row r="248" spans="1:20" ht="12" hidden="1" customHeight="1" outlineLevel="1" x14ac:dyDescent="0.2">
      <c r="A248" s="44"/>
      <c r="B248" s="137" t="s">
        <v>15</v>
      </c>
      <c r="C248" s="135" t="s">
        <v>188</v>
      </c>
      <c r="D248" s="450">
        <v>39</v>
      </c>
      <c r="E248" s="451"/>
      <c r="F248" s="450">
        <f>+D248</f>
        <v>39</v>
      </c>
      <c r="G248" s="133">
        <v>45</v>
      </c>
      <c r="H248" s="452">
        <f>+G248/D248</f>
        <v>1.1538461538461537</v>
      </c>
      <c r="I248" s="145">
        <f>+F248</f>
        <v>39</v>
      </c>
      <c r="J248" s="145">
        <v>30</v>
      </c>
      <c r="K248" s="252"/>
      <c r="L248" s="253"/>
      <c r="M248" s="547">
        <v>1120</v>
      </c>
      <c r="N248" s="547">
        <v>30</v>
      </c>
      <c r="O248" s="547">
        <v>1732</v>
      </c>
      <c r="P248" s="145">
        <v>1200</v>
      </c>
      <c r="Q248" s="145">
        <v>2718</v>
      </c>
      <c r="R248" s="145">
        <v>2718</v>
      </c>
      <c r="S248" s="145">
        <v>2718</v>
      </c>
      <c r="T248" s="145">
        <v>2718</v>
      </c>
    </row>
    <row r="249" spans="1:20" ht="12" hidden="1" customHeight="1" outlineLevel="1" x14ac:dyDescent="0.2">
      <c r="A249" s="44"/>
      <c r="B249" s="138">
        <v>632001</v>
      </c>
      <c r="C249" s="135" t="s">
        <v>178</v>
      </c>
      <c r="D249" s="453">
        <v>10</v>
      </c>
      <c r="E249" s="451"/>
      <c r="F249" s="450">
        <f>+D249</f>
        <v>10</v>
      </c>
      <c r="G249" s="133">
        <v>2</v>
      </c>
      <c r="H249" s="452">
        <f>+G249/D249</f>
        <v>0.2</v>
      </c>
      <c r="I249" s="145">
        <f>+F249</f>
        <v>10</v>
      </c>
      <c r="J249" s="145">
        <v>150</v>
      </c>
      <c r="K249" s="252"/>
      <c r="L249" s="253"/>
      <c r="M249" s="547">
        <v>5572</v>
      </c>
      <c r="N249" s="547">
        <v>210</v>
      </c>
      <c r="O249" s="547">
        <v>6684</v>
      </c>
      <c r="P249" s="145">
        <v>6500</v>
      </c>
      <c r="Q249" s="145">
        <v>5053</v>
      </c>
      <c r="R249" s="145">
        <v>5053</v>
      </c>
      <c r="S249" s="145">
        <v>5053</v>
      </c>
      <c r="T249" s="145">
        <v>5053</v>
      </c>
    </row>
    <row r="250" spans="1:20" ht="12" customHeight="1" collapsed="1" x14ac:dyDescent="0.2">
      <c r="A250" s="44"/>
      <c r="B250" s="457">
        <v>635</v>
      </c>
      <c r="C250" s="451" t="s">
        <v>47</v>
      </c>
      <c r="D250" s="454"/>
      <c r="E250" s="447"/>
      <c r="F250" s="455"/>
      <c r="G250" s="456">
        <f>SUM(G251:G252)</f>
        <v>-49</v>
      </c>
      <c r="H250" s="455">
        <f>SUM(H251:H252)</f>
        <v>-0.80300546448087429</v>
      </c>
      <c r="I250" s="449">
        <f>SUM(I251:I252)</f>
        <v>60</v>
      </c>
      <c r="J250" s="132">
        <f>J251</f>
        <v>50</v>
      </c>
      <c r="K250" s="252"/>
      <c r="L250" s="253"/>
      <c r="M250" s="547">
        <v>107.8</v>
      </c>
      <c r="N250" s="560">
        <v>10</v>
      </c>
      <c r="O250" s="547">
        <v>802.9</v>
      </c>
      <c r="P250" s="132">
        <v>500</v>
      </c>
      <c r="Q250" s="132">
        <v>300</v>
      </c>
      <c r="R250" s="132">
        <v>500</v>
      </c>
      <c r="S250" s="132">
        <v>2500</v>
      </c>
      <c r="T250" s="132">
        <v>2500</v>
      </c>
    </row>
    <row r="251" spans="1:20" ht="12" hidden="1" customHeight="1" outlineLevel="1" x14ac:dyDescent="0.2">
      <c r="A251" s="44"/>
      <c r="B251" s="138">
        <v>635006</v>
      </c>
      <c r="C251" s="11" t="s">
        <v>106</v>
      </c>
      <c r="D251" s="20">
        <v>60</v>
      </c>
      <c r="E251" s="47"/>
      <c r="F251" s="82">
        <f>+D251</f>
        <v>60</v>
      </c>
      <c r="G251" s="6">
        <v>1</v>
      </c>
      <c r="H251" s="74">
        <f>+G251/D251</f>
        <v>1.6666666666666666E-2</v>
      </c>
      <c r="I251" s="4">
        <v>60</v>
      </c>
      <c r="J251" s="132">
        <v>50</v>
      </c>
      <c r="L251" s="53"/>
      <c r="M251" s="547">
        <v>190</v>
      </c>
      <c r="N251" s="547">
        <v>10</v>
      </c>
      <c r="O251" s="547">
        <v>0</v>
      </c>
      <c r="P251" s="132">
        <v>330</v>
      </c>
      <c r="Q251" s="132">
        <v>10630</v>
      </c>
      <c r="R251" s="132">
        <v>330</v>
      </c>
      <c r="S251" s="132">
        <v>330</v>
      </c>
      <c r="T251" s="132">
        <v>330</v>
      </c>
    </row>
    <row r="252" spans="1:20" ht="17.25" customHeight="1" collapsed="1" x14ac:dyDescent="0.2">
      <c r="A252" s="44"/>
      <c r="B252" s="138">
        <v>633</v>
      </c>
      <c r="C252" s="11" t="s">
        <v>298</v>
      </c>
      <c r="D252" s="20">
        <v>61</v>
      </c>
      <c r="E252" s="47"/>
      <c r="F252" s="82"/>
      <c r="G252" s="6">
        <v>-50</v>
      </c>
      <c r="H252" s="74">
        <f>+G252/D252</f>
        <v>-0.81967213114754101</v>
      </c>
      <c r="I252" s="4"/>
      <c r="J252" s="4">
        <v>20</v>
      </c>
      <c r="L252" s="53"/>
      <c r="M252" s="549">
        <v>0</v>
      </c>
      <c r="N252" s="549">
        <v>10</v>
      </c>
      <c r="O252" s="549">
        <v>143.08000000000001</v>
      </c>
      <c r="P252" s="4">
        <v>200</v>
      </c>
      <c r="Q252" s="4">
        <v>100</v>
      </c>
      <c r="R252" s="4">
        <v>200</v>
      </c>
      <c r="S252" s="4">
        <v>200</v>
      </c>
      <c r="T252" s="4">
        <v>200</v>
      </c>
    </row>
    <row r="253" spans="1:20" ht="12" hidden="1" customHeight="1" x14ac:dyDescent="0.2">
      <c r="A253" s="328"/>
      <c r="B253" s="274"/>
      <c r="C253" s="275"/>
      <c r="D253" s="319"/>
      <c r="E253" s="320"/>
      <c r="F253" s="321"/>
      <c r="G253" s="322"/>
      <c r="H253" s="323"/>
      <c r="I253" s="324"/>
      <c r="J253" s="276">
        <v>60</v>
      </c>
      <c r="K253" s="325"/>
      <c r="L253" s="287"/>
      <c r="M253" s="558"/>
      <c r="N253" s="558">
        <v>60</v>
      </c>
      <c r="O253" s="558"/>
      <c r="P253" s="276"/>
      <c r="Q253" s="276"/>
      <c r="R253" s="276"/>
      <c r="S253" s="276"/>
      <c r="T253" s="276"/>
    </row>
    <row r="254" spans="1:20" ht="12" customHeight="1" x14ac:dyDescent="0.2">
      <c r="A254" s="411"/>
      <c r="B254" s="412">
        <v>637</v>
      </c>
      <c r="C254" s="401" t="s">
        <v>48</v>
      </c>
      <c r="D254" s="402"/>
      <c r="E254" s="403"/>
      <c r="F254" s="404"/>
      <c r="G254" s="405"/>
      <c r="H254" s="406"/>
      <c r="I254" s="407"/>
      <c r="J254" s="408"/>
      <c r="K254" s="409"/>
      <c r="L254" s="410"/>
      <c r="M254" s="564">
        <v>1295.1199999999999</v>
      </c>
      <c r="N254" s="561"/>
      <c r="O254" s="564">
        <v>3209.95</v>
      </c>
      <c r="P254" s="420">
        <v>1300</v>
      </c>
      <c r="Q254" s="420">
        <v>4600</v>
      </c>
      <c r="R254" s="420">
        <v>3300</v>
      </c>
      <c r="S254" s="408"/>
      <c r="T254" s="408"/>
    </row>
    <row r="255" spans="1:20" ht="12" customHeight="1" x14ac:dyDescent="0.2">
      <c r="A255" s="326" t="s">
        <v>243</v>
      </c>
      <c r="B255" s="327"/>
      <c r="C255" s="277"/>
      <c r="D255" s="61"/>
      <c r="E255" s="69"/>
      <c r="F255" s="278"/>
      <c r="G255" s="83"/>
      <c r="H255" s="76"/>
      <c r="I255" s="64"/>
      <c r="J255" s="279">
        <f>J261+J262+J265+J266</f>
        <v>81</v>
      </c>
      <c r="K255" s="70"/>
      <c r="L255" s="280"/>
      <c r="M255" s="562">
        <f>M256+M257</f>
        <v>4146.05</v>
      </c>
      <c r="N255" s="562">
        <f>N261+N262+N265+N266</f>
        <v>23</v>
      </c>
      <c r="O255" s="562">
        <f t="shared" ref="O255:T255" si="39">O256+O257</f>
        <v>2580.9499999999998</v>
      </c>
      <c r="P255" s="279">
        <f t="shared" si="39"/>
        <v>3000</v>
      </c>
      <c r="Q255" s="279">
        <f t="shared" si="39"/>
        <v>6400</v>
      </c>
      <c r="R255" s="279">
        <f t="shared" si="39"/>
        <v>5600</v>
      </c>
      <c r="S255" s="279">
        <f t="shared" si="39"/>
        <v>1200</v>
      </c>
      <c r="T255" s="279">
        <f t="shared" si="39"/>
        <v>1200</v>
      </c>
    </row>
    <row r="256" spans="1:20" ht="12" customHeight="1" x14ac:dyDescent="0.2">
      <c r="A256" s="444"/>
      <c r="B256" s="664" t="s">
        <v>344</v>
      </c>
      <c r="C256" s="136" t="s">
        <v>245</v>
      </c>
      <c r="D256" s="61"/>
      <c r="E256" s="69"/>
      <c r="F256" s="278"/>
      <c r="G256" s="83"/>
      <c r="H256" s="76"/>
      <c r="I256" s="64"/>
      <c r="J256" s="64"/>
      <c r="K256" s="70"/>
      <c r="L256" s="280"/>
      <c r="M256" s="559">
        <v>1256.4000000000001</v>
      </c>
      <c r="N256" s="563"/>
      <c r="O256" s="559">
        <v>1999.25</v>
      </c>
      <c r="P256" s="449">
        <v>600</v>
      </c>
      <c r="Q256" s="132">
        <v>5800</v>
      </c>
      <c r="R256" s="449">
        <v>5000</v>
      </c>
      <c r="S256" s="449">
        <v>200</v>
      </c>
      <c r="T256" s="449">
        <v>200</v>
      </c>
    </row>
    <row r="257" spans="1:20" ht="12" customHeight="1" x14ac:dyDescent="0.2">
      <c r="A257" s="444"/>
      <c r="B257" s="138" t="s">
        <v>244</v>
      </c>
      <c r="C257" s="136" t="s">
        <v>246</v>
      </c>
      <c r="D257" s="61"/>
      <c r="E257" s="69"/>
      <c r="F257" s="278"/>
      <c r="G257" s="83"/>
      <c r="H257" s="76"/>
      <c r="I257" s="64"/>
      <c r="J257" s="64"/>
      <c r="K257" s="70"/>
      <c r="L257" s="280"/>
      <c r="M257" s="559">
        <v>2889.65</v>
      </c>
      <c r="N257" s="563"/>
      <c r="O257" s="559">
        <v>581.70000000000005</v>
      </c>
      <c r="P257" s="449">
        <v>2400</v>
      </c>
      <c r="Q257" s="449">
        <v>600</v>
      </c>
      <c r="R257" s="449">
        <v>600</v>
      </c>
      <c r="S257" s="449">
        <v>1000</v>
      </c>
      <c r="T257" s="449">
        <v>1000</v>
      </c>
    </row>
    <row r="258" spans="1:20" ht="12" customHeight="1" x14ac:dyDescent="0.2">
      <c r="A258" s="459" t="s">
        <v>290</v>
      </c>
      <c r="B258" s="327" t="s">
        <v>291</v>
      </c>
      <c r="C258" s="460"/>
      <c r="D258" s="439"/>
      <c r="E258" s="440"/>
      <c r="F258" s="461"/>
      <c r="G258" s="462"/>
      <c r="H258" s="442"/>
      <c r="I258" s="279"/>
      <c r="J258" s="279"/>
      <c r="K258" s="463"/>
      <c r="L258" s="464"/>
      <c r="M258" s="556">
        <f>M259+M260+M261</f>
        <v>624</v>
      </c>
      <c r="N258" s="562"/>
      <c r="O258" s="562">
        <f>O259+O260+O261</f>
        <v>4688.92</v>
      </c>
      <c r="P258" s="279">
        <f>P259+P260+P261</f>
        <v>2000</v>
      </c>
      <c r="Q258" s="279">
        <f>Q259+Q260+Q261</f>
        <v>400</v>
      </c>
      <c r="R258" s="279">
        <f>R259+R260+R261</f>
        <v>2500</v>
      </c>
      <c r="S258" s="279">
        <v>3000</v>
      </c>
      <c r="T258" s="279">
        <v>1000</v>
      </c>
    </row>
    <row r="259" spans="1:20" ht="12" customHeight="1" x14ac:dyDescent="0.2">
      <c r="A259" s="444"/>
      <c r="B259" s="138">
        <v>633</v>
      </c>
      <c r="C259" s="136" t="s">
        <v>318</v>
      </c>
      <c r="D259" s="61"/>
      <c r="E259" s="69"/>
      <c r="F259" s="278"/>
      <c r="G259" s="83"/>
      <c r="H259" s="76"/>
      <c r="I259" s="64"/>
      <c r="J259" s="64"/>
      <c r="K259" s="70"/>
      <c r="L259" s="280"/>
      <c r="M259" s="559">
        <v>0</v>
      </c>
      <c r="N259" s="563"/>
      <c r="O259" s="547">
        <v>4056</v>
      </c>
      <c r="P259" s="449">
        <v>0</v>
      </c>
      <c r="Q259" s="132">
        <v>100</v>
      </c>
      <c r="R259" s="64">
        <v>0</v>
      </c>
      <c r="S259" s="64">
        <v>0</v>
      </c>
      <c r="T259" s="64">
        <v>0</v>
      </c>
    </row>
    <row r="260" spans="1:20" ht="12" customHeight="1" x14ac:dyDescent="0.2">
      <c r="A260" s="444"/>
      <c r="B260" s="138">
        <v>635</v>
      </c>
      <c r="C260" s="136" t="s">
        <v>47</v>
      </c>
      <c r="D260" s="61"/>
      <c r="E260" s="69"/>
      <c r="F260" s="278"/>
      <c r="G260" s="83"/>
      <c r="H260" s="76"/>
      <c r="I260" s="64"/>
      <c r="J260" s="64"/>
      <c r="K260" s="70"/>
      <c r="L260" s="280"/>
      <c r="M260" s="559">
        <v>0</v>
      </c>
      <c r="N260" s="563"/>
      <c r="O260" s="547">
        <v>0</v>
      </c>
      <c r="P260" s="449">
        <v>0</v>
      </c>
      <c r="Q260" s="64">
        <v>0</v>
      </c>
      <c r="R260" s="64">
        <v>0</v>
      </c>
      <c r="S260" s="64">
        <v>0</v>
      </c>
      <c r="T260" s="64">
        <v>0</v>
      </c>
    </row>
    <row r="261" spans="1:20" ht="12" customHeight="1" x14ac:dyDescent="0.2">
      <c r="A261" s="413" t="s">
        <v>186</v>
      </c>
      <c r="B261" s="458" t="s">
        <v>292</v>
      </c>
      <c r="C261" s="401" t="s">
        <v>317</v>
      </c>
      <c r="D261" s="402"/>
      <c r="E261" s="403"/>
      <c r="F261" s="404"/>
      <c r="G261" s="405"/>
      <c r="H261" s="406"/>
      <c r="I261" s="407"/>
      <c r="J261" s="407"/>
      <c r="K261" s="409"/>
      <c r="L261" s="410"/>
      <c r="M261" s="564">
        <v>624</v>
      </c>
      <c r="N261" s="565"/>
      <c r="O261" s="564">
        <v>632.91999999999996</v>
      </c>
      <c r="P261" s="420">
        <v>2000</v>
      </c>
      <c r="Q261" s="420">
        <v>300</v>
      </c>
      <c r="R261" s="420">
        <v>2500</v>
      </c>
      <c r="S261" s="420">
        <v>3000</v>
      </c>
      <c r="T261" s="420">
        <v>1000</v>
      </c>
    </row>
    <row r="262" spans="1:20" s="70" customFormat="1" ht="12" customHeight="1" x14ac:dyDescent="0.2">
      <c r="A262" s="326" t="s">
        <v>187</v>
      </c>
      <c r="B262" s="327"/>
      <c r="C262" s="277"/>
      <c r="D262" s="61"/>
      <c r="E262" s="69"/>
      <c r="F262" s="278"/>
      <c r="G262" s="83"/>
      <c r="H262" s="76"/>
      <c r="I262" s="64"/>
      <c r="J262" s="279">
        <f>J265+J266+J267+J269</f>
        <v>41</v>
      </c>
      <c r="L262" s="280"/>
      <c r="M262" s="562">
        <f>M263+M264+M265+M266+M267+M269+M268</f>
        <v>16652.34</v>
      </c>
      <c r="N262" s="562">
        <f>N265+N266+N267+N269</f>
        <v>13</v>
      </c>
      <c r="O262" s="562">
        <f>O265+O266+O267+O269+O263+O264+O268</f>
        <v>20647.439999999999</v>
      </c>
      <c r="P262" s="279">
        <f>P263+P264+P265+P266+P267+P268+P269</f>
        <v>19254</v>
      </c>
      <c r="Q262" s="279">
        <f>Q265+Q266+Q267+Q269+Q263+Q264+Q268</f>
        <v>19300</v>
      </c>
      <c r="R262" s="279">
        <f>R265+R266+R267+R269+R263+R264+R268</f>
        <v>19300</v>
      </c>
      <c r="S262" s="279">
        <f>S265+S266+S267+S269+S263+S264+S268</f>
        <v>16160</v>
      </c>
      <c r="T262" s="279">
        <f>T265+T266+T267+T269+T263+T264+T268</f>
        <v>16060</v>
      </c>
    </row>
    <row r="263" spans="1:20" s="70" customFormat="1" ht="12" customHeight="1" x14ac:dyDescent="0.2">
      <c r="A263" s="444"/>
      <c r="B263" s="138">
        <v>610</v>
      </c>
      <c r="C263" s="136" t="s">
        <v>250</v>
      </c>
      <c r="D263" s="61"/>
      <c r="E263" s="69"/>
      <c r="F263" s="278"/>
      <c r="G263" s="83"/>
      <c r="H263" s="76"/>
      <c r="I263" s="64"/>
      <c r="J263" s="64"/>
      <c r="L263" s="280"/>
      <c r="M263" s="547">
        <v>11111.15</v>
      </c>
      <c r="N263" s="563"/>
      <c r="O263" s="559">
        <v>13004.97</v>
      </c>
      <c r="P263" s="132">
        <v>13000</v>
      </c>
      <c r="Q263" s="132">
        <v>13000</v>
      </c>
      <c r="R263" s="132">
        <v>13000</v>
      </c>
      <c r="S263" s="132">
        <v>11000</v>
      </c>
      <c r="T263" s="132">
        <v>11000</v>
      </c>
    </row>
    <row r="264" spans="1:20" s="70" customFormat="1" ht="12" customHeight="1" x14ac:dyDescent="0.2">
      <c r="A264" s="444"/>
      <c r="B264" s="138">
        <v>620</v>
      </c>
      <c r="C264" s="136" t="s">
        <v>251</v>
      </c>
      <c r="D264" s="61"/>
      <c r="E264" s="69"/>
      <c r="F264" s="278"/>
      <c r="G264" s="83"/>
      <c r="H264" s="76"/>
      <c r="I264" s="64"/>
      <c r="J264" s="64"/>
      <c r="L264" s="280"/>
      <c r="M264" s="547">
        <v>3460.17</v>
      </c>
      <c r="N264" s="563"/>
      <c r="O264" s="559">
        <v>3979.01</v>
      </c>
      <c r="P264" s="132">
        <v>4544</v>
      </c>
      <c r="Q264" s="132">
        <v>4544</v>
      </c>
      <c r="R264" s="132">
        <v>4544</v>
      </c>
      <c r="S264" s="132">
        <v>3850</v>
      </c>
      <c r="T264" s="132">
        <v>3850</v>
      </c>
    </row>
    <row r="265" spans="1:20" ht="12" customHeight="1" x14ac:dyDescent="0.2">
      <c r="A265" s="272"/>
      <c r="B265" s="10">
        <v>632</v>
      </c>
      <c r="C265" s="11" t="s">
        <v>248</v>
      </c>
      <c r="D265" s="20"/>
      <c r="E265" s="47"/>
      <c r="F265" s="82"/>
      <c r="G265" s="75"/>
      <c r="H265" s="74"/>
      <c r="I265" s="4"/>
      <c r="J265" s="4">
        <v>30</v>
      </c>
      <c r="L265" s="53"/>
      <c r="M265" s="547">
        <v>310</v>
      </c>
      <c r="N265" s="549">
        <v>0</v>
      </c>
      <c r="O265" s="549">
        <v>0</v>
      </c>
      <c r="P265" s="4">
        <v>310</v>
      </c>
      <c r="Q265" s="4">
        <v>300</v>
      </c>
      <c r="R265" s="4">
        <v>300</v>
      </c>
      <c r="S265" s="4">
        <v>10</v>
      </c>
      <c r="T265" s="4">
        <v>10</v>
      </c>
    </row>
    <row r="266" spans="1:20" ht="12" customHeight="1" x14ac:dyDescent="0.2">
      <c r="A266" s="272"/>
      <c r="B266" s="10">
        <v>633</v>
      </c>
      <c r="C266" s="11" t="s">
        <v>293</v>
      </c>
      <c r="D266" s="20"/>
      <c r="E266" s="47"/>
      <c r="F266" s="82"/>
      <c r="G266" s="75"/>
      <c r="H266" s="74"/>
      <c r="I266" s="4"/>
      <c r="J266" s="4">
        <v>10</v>
      </c>
      <c r="L266" s="53"/>
      <c r="M266" s="547">
        <v>1556.07</v>
      </c>
      <c r="N266" s="549">
        <v>10</v>
      </c>
      <c r="O266" s="549">
        <v>1224.3499999999999</v>
      </c>
      <c r="P266" s="4">
        <v>1100</v>
      </c>
      <c r="Q266" s="4">
        <v>1100</v>
      </c>
      <c r="R266" s="4">
        <v>1100</v>
      </c>
      <c r="S266" s="4">
        <v>1100</v>
      </c>
      <c r="T266" s="4">
        <v>1000</v>
      </c>
    </row>
    <row r="267" spans="1:20" ht="12" customHeight="1" x14ac:dyDescent="0.2">
      <c r="A267" s="272"/>
      <c r="B267" s="10">
        <v>635</v>
      </c>
      <c r="C267" s="11" t="s">
        <v>189</v>
      </c>
      <c r="D267" s="20"/>
      <c r="E267" s="47"/>
      <c r="F267" s="82"/>
      <c r="G267" s="75"/>
      <c r="H267" s="74"/>
      <c r="I267" s="4"/>
      <c r="J267" s="4">
        <v>1</v>
      </c>
      <c r="L267" s="53"/>
      <c r="M267" s="547">
        <v>66.39</v>
      </c>
      <c r="N267" s="549">
        <v>0</v>
      </c>
      <c r="O267" s="549">
        <v>107.6</v>
      </c>
      <c r="P267" s="4">
        <v>100</v>
      </c>
      <c r="Q267" s="4">
        <v>100</v>
      </c>
      <c r="R267" s="4">
        <v>100</v>
      </c>
      <c r="S267" s="4">
        <v>0</v>
      </c>
      <c r="T267" s="4">
        <v>0</v>
      </c>
    </row>
    <row r="268" spans="1:20" ht="12" customHeight="1" x14ac:dyDescent="0.2">
      <c r="A268" s="272"/>
      <c r="B268" s="10">
        <v>637</v>
      </c>
      <c r="C268" s="11" t="s">
        <v>249</v>
      </c>
      <c r="D268" s="20"/>
      <c r="E268" s="47"/>
      <c r="F268" s="82"/>
      <c r="G268" s="75"/>
      <c r="H268" s="74"/>
      <c r="I268" s="4"/>
      <c r="J268" s="4"/>
      <c r="L268" s="53"/>
      <c r="M268" s="547">
        <v>122.99</v>
      </c>
      <c r="N268" s="549"/>
      <c r="O268" s="549">
        <v>2112.34</v>
      </c>
      <c r="P268" s="4">
        <v>150</v>
      </c>
      <c r="Q268" s="4">
        <v>200</v>
      </c>
      <c r="R268" s="4">
        <v>200</v>
      </c>
      <c r="S268" s="4">
        <v>150</v>
      </c>
      <c r="T268" s="4">
        <v>150</v>
      </c>
    </row>
    <row r="269" spans="1:20" ht="12" customHeight="1" x14ac:dyDescent="0.2">
      <c r="A269" s="44"/>
      <c r="B269" s="10">
        <v>642</v>
      </c>
      <c r="C269" s="11" t="s">
        <v>217</v>
      </c>
      <c r="D269" s="20"/>
      <c r="E269" s="47"/>
      <c r="F269" s="82"/>
      <c r="G269" s="75"/>
      <c r="H269" s="74"/>
      <c r="I269" s="4"/>
      <c r="J269" s="4">
        <v>0</v>
      </c>
      <c r="L269" s="53"/>
      <c r="M269" s="547">
        <v>25.57</v>
      </c>
      <c r="N269" s="549">
        <v>3</v>
      </c>
      <c r="O269" s="549">
        <v>219.17</v>
      </c>
      <c r="P269" s="4">
        <v>50</v>
      </c>
      <c r="Q269" s="4">
        <v>56</v>
      </c>
      <c r="R269" s="4">
        <v>56</v>
      </c>
      <c r="S269" s="4">
        <v>50</v>
      </c>
      <c r="T269" s="4">
        <v>50</v>
      </c>
    </row>
    <row r="270" spans="1:20" ht="12" customHeight="1" x14ac:dyDescent="0.2">
      <c r="A270" s="284" t="s">
        <v>190</v>
      </c>
      <c r="B270" s="233" t="s">
        <v>179</v>
      </c>
      <c r="C270" s="250"/>
      <c r="D270" s="222">
        <f>+D277</f>
        <v>2000</v>
      </c>
      <c r="E270" s="223">
        <f>+E277</f>
        <v>0</v>
      </c>
      <c r="F270" s="222">
        <f>+F277</f>
        <v>2000</v>
      </c>
      <c r="G270" s="222">
        <f>+G276</f>
        <v>1193</v>
      </c>
      <c r="H270" s="223">
        <f>+H276</f>
        <v>0.59650000000000003</v>
      </c>
      <c r="I270" s="225">
        <f>+I276</f>
        <v>2000</v>
      </c>
      <c r="J270" s="227">
        <f>J276</f>
        <v>100</v>
      </c>
      <c r="K270" s="228"/>
      <c r="L270" s="229"/>
      <c r="M270" s="551">
        <f>M271+M272+M273+M274+M275+M276+M278</f>
        <v>16675.53</v>
      </c>
      <c r="N270" s="551">
        <f>N276</f>
        <v>100</v>
      </c>
      <c r="O270" s="551">
        <f t="shared" ref="O270:T270" si="40">O271+O272+O273+O274+O275+O276+O278</f>
        <v>36258.689999999995</v>
      </c>
      <c r="P270" s="227">
        <f t="shared" si="40"/>
        <v>40590</v>
      </c>
      <c r="Q270" s="227">
        <f t="shared" si="40"/>
        <v>35540</v>
      </c>
      <c r="R270" s="227">
        <f t="shared" si="40"/>
        <v>40590</v>
      </c>
      <c r="S270" s="227">
        <f t="shared" si="40"/>
        <v>28613</v>
      </c>
      <c r="T270" s="227">
        <f t="shared" si="40"/>
        <v>28613</v>
      </c>
    </row>
    <row r="271" spans="1:20" ht="12" customHeight="1" x14ac:dyDescent="0.2">
      <c r="A271" s="68"/>
      <c r="B271" s="137">
        <v>610</v>
      </c>
      <c r="C271" s="135" t="s">
        <v>250</v>
      </c>
      <c r="D271" s="51"/>
      <c r="E271" s="54"/>
      <c r="F271" s="51"/>
      <c r="G271" s="51"/>
      <c r="H271" s="52"/>
      <c r="I271" s="8"/>
      <c r="J271" s="134"/>
      <c r="L271" s="53"/>
      <c r="M271" s="547">
        <v>3121.76</v>
      </c>
      <c r="N271" s="552"/>
      <c r="O271" s="547">
        <v>22007.98</v>
      </c>
      <c r="P271" s="132">
        <v>20000</v>
      </c>
      <c r="Q271" s="132">
        <v>20000</v>
      </c>
      <c r="R271" s="132">
        <v>20000</v>
      </c>
      <c r="S271" s="132">
        <v>13200</v>
      </c>
      <c r="T271" s="132">
        <v>13200</v>
      </c>
    </row>
    <row r="272" spans="1:20" ht="12" customHeight="1" x14ac:dyDescent="0.2">
      <c r="A272" s="68"/>
      <c r="B272" s="137">
        <v>620</v>
      </c>
      <c r="C272" s="135" t="s">
        <v>251</v>
      </c>
      <c r="D272" s="51"/>
      <c r="E272" s="54"/>
      <c r="F272" s="51"/>
      <c r="G272" s="51"/>
      <c r="H272" s="52"/>
      <c r="I272" s="8"/>
      <c r="J272" s="134"/>
      <c r="L272" s="53"/>
      <c r="M272" s="547">
        <v>1219.32</v>
      </c>
      <c r="N272" s="552"/>
      <c r="O272" s="547">
        <v>7680.77</v>
      </c>
      <c r="P272" s="132">
        <v>6990</v>
      </c>
      <c r="Q272" s="132">
        <v>6990</v>
      </c>
      <c r="R272" s="132">
        <v>6990</v>
      </c>
      <c r="S272" s="132">
        <v>4613</v>
      </c>
      <c r="T272" s="132">
        <v>4613</v>
      </c>
    </row>
    <row r="273" spans="1:20" ht="12" customHeight="1" x14ac:dyDescent="0.2">
      <c r="A273" s="68"/>
      <c r="B273" s="137">
        <v>632</v>
      </c>
      <c r="C273" s="135" t="s">
        <v>247</v>
      </c>
      <c r="D273" s="51"/>
      <c r="E273" s="54"/>
      <c r="F273" s="51"/>
      <c r="G273" s="51"/>
      <c r="H273" s="52"/>
      <c r="I273" s="8"/>
      <c r="J273" s="134"/>
      <c r="L273" s="53"/>
      <c r="M273" s="547">
        <v>6888.15</v>
      </c>
      <c r="N273" s="552"/>
      <c r="O273" s="547">
        <v>3341.33</v>
      </c>
      <c r="P273" s="132">
        <v>7000</v>
      </c>
      <c r="Q273" s="132">
        <v>6000</v>
      </c>
      <c r="R273" s="132">
        <v>7000</v>
      </c>
      <c r="S273" s="132">
        <v>7000</v>
      </c>
      <c r="T273" s="132">
        <v>7000</v>
      </c>
    </row>
    <row r="274" spans="1:20" ht="12" customHeight="1" x14ac:dyDescent="0.2">
      <c r="A274" s="68"/>
      <c r="B274" s="137">
        <v>633</v>
      </c>
      <c r="C274" s="135" t="s">
        <v>98</v>
      </c>
      <c r="D274" s="51"/>
      <c r="E274" s="54"/>
      <c r="F274" s="51"/>
      <c r="G274" s="51"/>
      <c r="H274" s="52"/>
      <c r="I274" s="8"/>
      <c r="J274" s="134"/>
      <c r="L274" s="53"/>
      <c r="M274" s="547">
        <v>1853.61</v>
      </c>
      <c r="N274" s="552"/>
      <c r="O274" s="547">
        <v>840.46</v>
      </c>
      <c r="P274" s="132">
        <v>5000</v>
      </c>
      <c r="Q274" s="132">
        <v>1000</v>
      </c>
      <c r="R274" s="132">
        <v>5000</v>
      </c>
      <c r="S274" s="132">
        <v>1000</v>
      </c>
      <c r="T274" s="132">
        <v>1000</v>
      </c>
    </row>
    <row r="275" spans="1:20" ht="12" customHeight="1" x14ac:dyDescent="0.2">
      <c r="A275" s="68"/>
      <c r="B275" s="137">
        <v>635</v>
      </c>
      <c r="C275" s="135" t="s">
        <v>47</v>
      </c>
      <c r="D275" s="51"/>
      <c r="E275" s="54"/>
      <c r="F275" s="51"/>
      <c r="G275" s="51"/>
      <c r="H275" s="52"/>
      <c r="I275" s="8"/>
      <c r="J275" s="134"/>
      <c r="L275" s="53"/>
      <c r="M275" s="547">
        <v>236</v>
      </c>
      <c r="N275" s="552"/>
      <c r="O275" s="547">
        <v>406.2</v>
      </c>
      <c r="P275" s="132">
        <v>500</v>
      </c>
      <c r="Q275" s="132">
        <v>500</v>
      </c>
      <c r="R275" s="132">
        <v>500</v>
      </c>
      <c r="S275" s="132">
        <v>200</v>
      </c>
      <c r="T275" s="132">
        <v>200</v>
      </c>
    </row>
    <row r="276" spans="1:20" ht="12" customHeight="1" x14ac:dyDescent="0.2">
      <c r="A276" s="68"/>
      <c r="B276" s="10">
        <v>637</v>
      </c>
      <c r="C276" s="11" t="s">
        <v>48</v>
      </c>
      <c r="D276" s="61"/>
      <c r="E276" s="69"/>
      <c r="F276" s="61"/>
      <c r="G276" s="61">
        <f>+G277</f>
        <v>1193</v>
      </c>
      <c r="H276" s="63">
        <f>+H277</f>
        <v>0.59650000000000003</v>
      </c>
      <c r="I276" s="64">
        <f>+I277</f>
        <v>2000</v>
      </c>
      <c r="J276" s="4">
        <v>100</v>
      </c>
      <c r="L276" s="53"/>
      <c r="M276" s="547">
        <v>3356.69</v>
      </c>
      <c r="N276" s="549">
        <v>100</v>
      </c>
      <c r="O276" s="547">
        <v>1981.95</v>
      </c>
      <c r="P276" s="132">
        <v>1000</v>
      </c>
      <c r="Q276" s="132">
        <v>1000</v>
      </c>
      <c r="R276" s="132">
        <v>1000</v>
      </c>
      <c r="S276" s="132">
        <v>2500</v>
      </c>
      <c r="T276" s="132">
        <v>2500</v>
      </c>
    </row>
    <row r="277" spans="1:20" ht="12" hidden="1" customHeight="1" outlineLevel="1" x14ac:dyDescent="0.2">
      <c r="A277" s="44"/>
      <c r="B277" s="45" t="s">
        <v>18</v>
      </c>
      <c r="C277" s="73" t="s">
        <v>123</v>
      </c>
      <c r="D277" s="20">
        <v>2000</v>
      </c>
      <c r="E277" s="47"/>
      <c r="F277" s="20">
        <f>+D277</f>
        <v>2000</v>
      </c>
      <c r="G277" s="6">
        <v>1193</v>
      </c>
      <c r="H277" s="74">
        <f>+G277/D277</f>
        <v>0.59650000000000003</v>
      </c>
      <c r="I277" s="4">
        <f>+F277</f>
        <v>2000</v>
      </c>
      <c r="J277" s="132">
        <v>2000</v>
      </c>
      <c r="L277" s="53"/>
      <c r="M277" s="547">
        <v>2500</v>
      </c>
      <c r="N277" s="547">
        <v>3000</v>
      </c>
      <c r="O277" s="547">
        <v>3000</v>
      </c>
      <c r="P277" s="132">
        <v>3000</v>
      </c>
      <c r="Q277" s="132">
        <v>2500</v>
      </c>
      <c r="R277" s="132">
        <v>2500</v>
      </c>
      <c r="S277" s="132">
        <v>2500</v>
      </c>
      <c r="T277" s="132">
        <v>2500</v>
      </c>
    </row>
    <row r="278" spans="1:20" ht="12" customHeight="1" collapsed="1" x14ac:dyDescent="0.2">
      <c r="A278" s="44"/>
      <c r="B278" s="45">
        <v>642</v>
      </c>
      <c r="C278" s="11" t="s">
        <v>252</v>
      </c>
      <c r="D278" s="58"/>
      <c r="E278" s="47"/>
      <c r="F278" s="58"/>
      <c r="G278" s="47"/>
      <c r="H278" s="74"/>
      <c r="I278" s="4"/>
      <c r="J278" s="131"/>
      <c r="K278" s="14" t="s">
        <v>53</v>
      </c>
      <c r="L278" s="53"/>
      <c r="M278" s="559">
        <v>0</v>
      </c>
      <c r="N278" s="548"/>
      <c r="O278" s="559">
        <v>0</v>
      </c>
      <c r="P278" s="449">
        <v>100</v>
      </c>
      <c r="Q278" s="449">
        <v>50</v>
      </c>
      <c r="R278" s="132">
        <v>100</v>
      </c>
      <c r="S278" s="132">
        <v>100</v>
      </c>
      <c r="T278" s="132">
        <v>100</v>
      </c>
    </row>
    <row r="279" spans="1:20" ht="12" customHeight="1" x14ac:dyDescent="0.2">
      <c r="A279" s="283" t="s">
        <v>19</v>
      </c>
      <c r="B279" s="233"/>
      <c r="C279" s="250"/>
      <c r="D279" s="222">
        <f>SUM(D281:D283)</f>
        <v>52</v>
      </c>
      <c r="E279" s="223">
        <f>SUM(E283:E284)</f>
        <v>0</v>
      </c>
      <c r="F279" s="222">
        <f>SUM(F281:F283)</f>
        <v>52</v>
      </c>
      <c r="G279" s="222">
        <f>+G280+G282</f>
        <v>43</v>
      </c>
      <c r="H279" s="223">
        <f>+H280+H282</f>
        <v>0.86</v>
      </c>
      <c r="I279" s="225">
        <f>+I280+I282</f>
        <v>82</v>
      </c>
      <c r="J279" s="235">
        <f>J280+J281+J282</f>
        <v>80</v>
      </c>
      <c r="K279" s="228"/>
      <c r="L279" s="229"/>
      <c r="M279" s="553">
        <f>M280+M282+M284</f>
        <v>1010.4499999999999</v>
      </c>
      <c r="N279" s="553">
        <f>N280+N281+N282</f>
        <v>74</v>
      </c>
      <c r="O279" s="553">
        <f>O280+O282+O284</f>
        <v>110.03</v>
      </c>
      <c r="P279" s="235">
        <f>P280+P282+P284</f>
        <v>1200</v>
      </c>
      <c r="Q279" s="235">
        <f>Q280+Q282+Q284</f>
        <v>900</v>
      </c>
      <c r="R279" s="235">
        <f>R280+R284+R282</f>
        <v>1200</v>
      </c>
      <c r="S279" s="235">
        <f>S280+S284+S282</f>
        <v>830</v>
      </c>
      <c r="T279" s="235">
        <f>T280+T284+T282</f>
        <v>830</v>
      </c>
    </row>
    <row r="280" spans="1:20" ht="12" customHeight="1" x14ac:dyDescent="0.2">
      <c r="A280" s="68"/>
      <c r="B280" s="45">
        <v>635</v>
      </c>
      <c r="C280" s="47" t="s">
        <v>180</v>
      </c>
      <c r="D280" s="61"/>
      <c r="E280" s="69"/>
      <c r="F280" s="61">
        <f>+D280</f>
        <v>0</v>
      </c>
      <c r="G280" s="61">
        <f>+G281</f>
        <v>0</v>
      </c>
      <c r="H280" s="63">
        <f>+H281</f>
        <v>0</v>
      </c>
      <c r="I280" s="64">
        <f>+I281</f>
        <v>2</v>
      </c>
      <c r="J280" s="4">
        <v>50</v>
      </c>
      <c r="L280" s="53"/>
      <c r="M280" s="549">
        <v>895.8</v>
      </c>
      <c r="N280" s="549">
        <v>40</v>
      </c>
      <c r="O280" s="549">
        <v>0</v>
      </c>
      <c r="P280" s="4">
        <v>600</v>
      </c>
      <c r="Q280" s="4">
        <v>200</v>
      </c>
      <c r="R280" s="4">
        <v>600</v>
      </c>
      <c r="S280" s="4">
        <v>600</v>
      </c>
      <c r="T280" s="4">
        <v>600</v>
      </c>
    </row>
    <row r="281" spans="1:20" ht="12" hidden="1" customHeight="1" outlineLevel="1" x14ac:dyDescent="0.2">
      <c r="A281" s="44"/>
      <c r="B281" s="10">
        <v>637</v>
      </c>
      <c r="C281" s="73" t="s">
        <v>181</v>
      </c>
      <c r="D281" s="20">
        <v>2</v>
      </c>
      <c r="E281" s="47"/>
      <c r="F281" s="20">
        <f>+D281</f>
        <v>2</v>
      </c>
      <c r="G281" s="6">
        <v>0</v>
      </c>
      <c r="H281" s="74">
        <f>+G281/D281</f>
        <v>0</v>
      </c>
      <c r="I281" s="4">
        <f>+F281</f>
        <v>2</v>
      </c>
      <c r="J281" s="132">
        <v>25</v>
      </c>
      <c r="L281" s="53"/>
      <c r="M281" s="547">
        <v>1211</v>
      </c>
      <c r="N281" s="547">
        <v>30</v>
      </c>
      <c r="O281" s="547">
        <v>1408</v>
      </c>
      <c r="P281" s="132">
        <v>1300</v>
      </c>
      <c r="Q281" s="132">
        <v>1500</v>
      </c>
      <c r="R281" s="132">
        <v>1600</v>
      </c>
      <c r="S281" s="132">
        <v>1300</v>
      </c>
      <c r="T281" s="132">
        <v>1300</v>
      </c>
    </row>
    <row r="282" spans="1:20" ht="12" customHeight="1" collapsed="1" x14ac:dyDescent="0.2">
      <c r="A282" s="44"/>
      <c r="B282" s="266">
        <v>637</v>
      </c>
      <c r="C282" s="47" t="s">
        <v>263</v>
      </c>
      <c r="D282" s="71"/>
      <c r="E282" s="69"/>
      <c r="F282" s="62"/>
      <c r="G282" s="77">
        <f>+G283</f>
        <v>43</v>
      </c>
      <c r="H282" s="62">
        <f>+H283</f>
        <v>0.86</v>
      </c>
      <c r="I282" s="64">
        <f>+I283</f>
        <v>80</v>
      </c>
      <c r="J282" s="267">
        <v>5</v>
      </c>
      <c r="L282" s="53"/>
      <c r="M282" s="549">
        <v>52.78</v>
      </c>
      <c r="N282" s="549">
        <v>4</v>
      </c>
      <c r="O282" s="549">
        <v>48.93</v>
      </c>
      <c r="P282" s="4">
        <v>500</v>
      </c>
      <c r="Q282" s="4">
        <v>500</v>
      </c>
      <c r="R282" s="4">
        <v>500</v>
      </c>
      <c r="S282" s="4">
        <v>130</v>
      </c>
      <c r="T282" s="4">
        <v>130</v>
      </c>
    </row>
    <row r="283" spans="1:20" ht="12" hidden="1" customHeight="1" outlineLevel="1" x14ac:dyDescent="0.2">
      <c r="A283" s="44"/>
      <c r="B283" s="10">
        <v>635006</v>
      </c>
      <c r="C283" s="11" t="s">
        <v>106</v>
      </c>
      <c r="D283" s="20">
        <v>50</v>
      </c>
      <c r="E283" s="47"/>
      <c r="F283" s="20">
        <f>+D283</f>
        <v>50</v>
      </c>
      <c r="G283" s="6">
        <v>43</v>
      </c>
      <c r="H283" s="74">
        <f>+G283/D283</f>
        <v>0.86</v>
      </c>
      <c r="I283" s="4">
        <v>80</v>
      </c>
      <c r="J283" s="132">
        <v>10</v>
      </c>
      <c r="L283" s="53"/>
      <c r="M283" s="547">
        <v>20</v>
      </c>
      <c r="N283" s="547">
        <v>30</v>
      </c>
      <c r="O283" s="547">
        <v>30</v>
      </c>
      <c r="P283" s="132">
        <v>30</v>
      </c>
      <c r="Q283" s="132">
        <v>20</v>
      </c>
      <c r="R283" s="132">
        <v>20</v>
      </c>
      <c r="S283" s="132">
        <v>20</v>
      </c>
      <c r="T283" s="132">
        <v>20</v>
      </c>
    </row>
    <row r="284" spans="1:20" ht="12" customHeight="1" collapsed="1" x14ac:dyDescent="0.2">
      <c r="A284" s="44"/>
      <c r="B284" s="45">
        <v>633</v>
      </c>
      <c r="C284" s="11" t="s">
        <v>98</v>
      </c>
      <c r="D284" s="47"/>
      <c r="E284" s="47"/>
      <c r="F284" s="47"/>
      <c r="G284" s="47"/>
      <c r="H284" s="74"/>
      <c r="I284" s="6"/>
      <c r="J284" s="130"/>
      <c r="K284" s="14" t="s">
        <v>53</v>
      </c>
      <c r="L284" s="53"/>
      <c r="M284" s="547">
        <v>61.87</v>
      </c>
      <c r="N284" s="548"/>
      <c r="O284" s="547">
        <v>61.1</v>
      </c>
      <c r="P284" s="466">
        <v>100</v>
      </c>
      <c r="Q284" s="133">
        <v>200</v>
      </c>
      <c r="R284" s="133">
        <v>100</v>
      </c>
      <c r="S284" s="133">
        <v>100</v>
      </c>
      <c r="T284" s="133">
        <v>100</v>
      </c>
    </row>
    <row r="285" spans="1:20" ht="12" customHeight="1" x14ac:dyDescent="0.2">
      <c r="A285" s="283" t="s">
        <v>138</v>
      </c>
      <c r="B285" s="248"/>
      <c r="C285" s="249"/>
      <c r="D285" s="222">
        <f>SUM(D293:D303)</f>
        <v>274</v>
      </c>
      <c r="E285" s="223">
        <f>SUM(E293:E303)</f>
        <v>0</v>
      </c>
      <c r="F285" s="222">
        <f>SUM(F293:F303)</f>
        <v>274</v>
      </c>
      <c r="G285" s="222">
        <f>+G292+G295+G297+G302</f>
        <v>246</v>
      </c>
      <c r="H285" s="223">
        <f>+H292+H295+H297+H302</f>
        <v>5.6980952380952381</v>
      </c>
      <c r="I285" s="225">
        <f>+I292+I295+I297+I302+I290</f>
        <v>328</v>
      </c>
      <c r="J285" s="235">
        <f>J292+J295</f>
        <v>210</v>
      </c>
      <c r="K285" s="228"/>
      <c r="L285" s="229"/>
      <c r="M285" s="553">
        <f>M286+M287+M288+M289+M290+M292+M295+M297</f>
        <v>32296.300000000003</v>
      </c>
      <c r="N285" s="553">
        <f>N292+N295</f>
        <v>208</v>
      </c>
      <c r="O285" s="553">
        <f>O286+O287+O288+O289+O290+O292+O295+O297</f>
        <v>42089.270000000011</v>
      </c>
      <c r="P285" s="235">
        <f>P286+P287+P288+P289+P290+P292+P295+P297</f>
        <v>37791</v>
      </c>
      <c r="Q285" s="235">
        <f>Q286+Q287+Q288+Q289+Q290+Q292+Q295+Q297</f>
        <v>30743</v>
      </c>
      <c r="R285" s="235">
        <f>R286+R287+R288+R289+R290+R292+R295+R297</f>
        <v>36592</v>
      </c>
      <c r="S285" s="235">
        <f>S286+S288+S289+S290+S292+S295+S297+S287</f>
        <v>34342</v>
      </c>
      <c r="T285" s="235">
        <f>T286+T287+T288+T289+T290+T292+T295+T297</f>
        <v>27042</v>
      </c>
    </row>
    <row r="286" spans="1:20" ht="12" customHeight="1" x14ac:dyDescent="0.2">
      <c r="A286" s="78"/>
      <c r="B286" s="45">
        <v>610</v>
      </c>
      <c r="C286" s="135" t="s">
        <v>250</v>
      </c>
      <c r="D286" s="51"/>
      <c r="E286" s="54"/>
      <c r="F286" s="52"/>
      <c r="G286" s="467"/>
      <c r="H286" s="54"/>
      <c r="I286" s="8"/>
      <c r="J286" s="131"/>
      <c r="L286" s="53"/>
      <c r="M286" s="547">
        <v>12791.2</v>
      </c>
      <c r="N286" s="548"/>
      <c r="O286" s="547">
        <v>21619.54</v>
      </c>
      <c r="P286" s="132">
        <v>18000</v>
      </c>
      <c r="Q286" s="132">
        <v>15000</v>
      </c>
      <c r="R286" s="132">
        <v>16000</v>
      </c>
      <c r="S286" s="132">
        <v>16000</v>
      </c>
      <c r="T286" s="132">
        <v>16000</v>
      </c>
    </row>
    <row r="287" spans="1:20" ht="12" customHeight="1" x14ac:dyDescent="0.2">
      <c r="A287" s="78"/>
      <c r="B287" s="45">
        <v>620</v>
      </c>
      <c r="C287" s="135" t="s">
        <v>251</v>
      </c>
      <c r="D287" s="51"/>
      <c r="E287" s="54"/>
      <c r="F287" s="52"/>
      <c r="G287" s="467"/>
      <c r="H287" s="54"/>
      <c r="I287" s="8"/>
      <c r="J287" s="131"/>
      <c r="L287" s="53"/>
      <c r="M287" s="547">
        <v>4878.4799999999996</v>
      </c>
      <c r="N287" s="548"/>
      <c r="O287" s="547">
        <v>5538.08</v>
      </c>
      <c r="P287" s="132">
        <v>6291</v>
      </c>
      <c r="Q287" s="132">
        <v>5243</v>
      </c>
      <c r="R287" s="132">
        <v>5592</v>
      </c>
      <c r="S287" s="132">
        <v>5592</v>
      </c>
      <c r="T287" s="132">
        <v>5592</v>
      </c>
    </row>
    <row r="288" spans="1:20" ht="12" customHeight="1" x14ac:dyDescent="0.2">
      <c r="A288" s="78"/>
      <c r="B288" s="45">
        <v>632</v>
      </c>
      <c r="C288" s="135" t="s">
        <v>247</v>
      </c>
      <c r="D288" s="51"/>
      <c r="E288" s="54"/>
      <c r="F288" s="52"/>
      <c r="G288" s="467"/>
      <c r="H288" s="54"/>
      <c r="I288" s="8"/>
      <c r="J288" s="131"/>
      <c r="L288" s="53"/>
      <c r="M288" s="547">
        <v>2342.0100000000002</v>
      </c>
      <c r="N288" s="548"/>
      <c r="O288" s="547">
        <v>1827.08</v>
      </c>
      <c r="P288" s="132">
        <v>2000</v>
      </c>
      <c r="Q288" s="132">
        <v>2400</v>
      </c>
      <c r="R288" s="132">
        <v>2400</v>
      </c>
      <c r="S288" s="132">
        <v>2000</v>
      </c>
      <c r="T288" s="132">
        <v>2000</v>
      </c>
    </row>
    <row r="289" spans="1:20" ht="12" customHeight="1" x14ac:dyDescent="0.2">
      <c r="A289" s="78"/>
      <c r="B289" s="45">
        <v>633</v>
      </c>
      <c r="C289" s="135" t="s">
        <v>98</v>
      </c>
      <c r="D289" s="51"/>
      <c r="E289" s="54"/>
      <c r="F289" s="52"/>
      <c r="G289" s="467"/>
      <c r="H289" s="54"/>
      <c r="I289" s="8"/>
      <c r="J289" s="131"/>
      <c r="L289" s="53"/>
      <c r="M289" s="547">
        <v>2186.0300000000002</v>
      </c>
      <c r="N289" s="548"/>
      <c r="O289" s="547">
        <v>6829.98</v>
      </c>
      <c r="P289" s="132">
        <v>6000</v>
      </c>
      <c r="Q289" s="132">
        <v>2000</v>
      </c>
      <c r="R289" s="132">
        <v>6000</v>
      </c>
      <c r="S289" s="132">
        <v>6000</v>
      </c>
      <c r="T289" s="132">
        <v>700</v>
      </c>
    </row>
    <row r="290" spans="1:20" ht="12" customHeight="1" x14ac:dyDescent="0.2">
      <c r="A290" s="68"/>
      <c r="B290" s="137">
        <v>634</v>
      </c>
      <c r="C290" s="451" t="s">
        <v>8</v>
      </c>
      <c r="D290" s="61"/>
      <c r="E290" s="69"/>
      <c r="F290" s="63">
        <f>+D290</f>
        <v>0</v>
      </c>
      <c r="G290" s="64">
        <f>SUM(G291:G298)</f>
        <v>292</v>
      </c>
      <c r="H290" s="121">
        <f>SUM(H291:H298)</f>
        <v>8.2797619047619033</v>
      </c>
      <c r="I290" s="64">
        <f>+I291</f>
        <v>0</v>
      </c>
      <c r="J290" s="131"/>
      <c r="L290" s="53"/>
      <c r="M290" s="547">
        <v>506.79</v>
      </c>
      <c r="N290" s="548"/>
      <c r="O290" s="547">
        <v>475.85</v>
      </c>
      <c r="P290" s="132"/>
      <c r="Q290" s="132">
        <v>200</v>
      </c>
      <c r="R290" s="132"/>
      <c r="S290" s="132"/>
      <c r="T290" s="132"/>
    </row>
    <row r="291" spans="1:20" ht="12" hidden="1" customHeight="1" outlineLevel="1" x14ac:dyDescent="0.2">
      <c r="A291" s="68"/>
      <c r="B291" s="10">
        <v>633016</v>
      </c>
      <c r="C291" s="11" t="s">
        <v>100</v>
      </c>
      <c r="D291" s="20">
        <v>40</v>
      </c>
      <c r="E291" s="47"/>
      <c r="F291" s="56">
        <f>+D291</f>
        <v>40</v>
      </c>
      <c r="G291" s="6">
        <f>34-11</f>
        <v>23</v>
      </c>
      <c r="H291" s="120">
        <f>+G291/D291</f>
        <v>0.57499999999999996</v>
      </c>
      <c r="I291" s="4">
        <v>0</v>
      </c>
      <c r="J291" s="132">
        <v>150</v>
      </c>
      <c r="L291" s="53"/>
      <c r="M291" s="547">
        <v>200</v>
      </c>
      <c r="N291" s="547">
        <v>250</v>
      </c>
      <c r="O291" s="547">
        <v>250</v>
      </c>
      <c r="P291" s="132">
        <v>250</v>
      </c>
      <c r="Q291" s="132">
        <v>200</v>
      </c>
      <c r="R291" s="132">
        <v>250</v>
      </c>
      <c r="S291" s="132">
        <v>200</v>
      </c>
      <c r="T291" s="132">
        <v>200</v>
      </c>
    </row>
    <row r="292" spans="1:20" ht="12" customHeight="1" collapsed="1" x14ac:dyDescent="0.2">
      <c r="A292" s="44"/>
      <c r="B292" s="45">
        <v>635</v>
      </c>
      <c r="C292" s="11" t="s">
        <v>253</v>
      </c>
      <c r="D292" s="61"/>
      <c r="E292" s="69"/>
      <c r="F292" s="61"/>
      <c r="G292" s="61">
        <f>SUM(G293:G294)</f>
        <v>22</v>
      </c>
      <c r="H292" s="63">
        <f>SUM(H293:H294)</f>
        <v>0.98666666666666658</v>
      </c>
      <c r="I292" s="64">
        <f>SUM(I293:I294)</f>
        <v>35</v>
      </c>
      <c r="J292" s="4">
        <v>10</v>
      </c>
      <c r="L292" s="53"/>
      <c r="M292" s="547">
        <v>3245.47</v>
      </c>
      <c r="N292" s="549">
        <v>8</v>
      </c>
      <c r="O292" s="547">
        <v>2089.04</v>
      </c>
      <c r="P292" s="132">
        <v>700</v>
      </c>
      <c r="Q292" s="132">
        <v>1400</v>
      </c>
      <c r="R292" s="132">
        <v>500</v>
      </c>
      <c r="S292" s="132">
        <v>750</v>
      </c>
      <c r="T292" s="132">
        <v>750</v>
      </c>
    </row>
    <row r="293" spans="1:20" ht="12" hidden="1" customHeight="1" outlineLevel="1" x14ac:dyDescent="0.2">
      <c r="A293" s="44"/>
      <c r="B293" s="45" t="s">
        <v>15</v>
      </c>
      <c r="C293" s="11" t="s">
        <v>93</v>
      </c>
      <c r="D293" s="46">
        <v>25</v>
      </c>
      <c r="E293" s="47"/>
      <c r="F293" s="46">
        <f>+D293</f>
        <v>25</v>
      </c>
      <c r="G293" s="6">
        <v>18</v>
      </c>
      <c r="H293" s="74">
        <f>+G293/D293</f>
        <v>0.72</v>
      </c>
      <c r="I293" s="6">
        <f>+F293</f>
        <v>25</v>
      </c>
      <c r="J293" s="133">
        <v>50</v>
      </c>
      <c r="L293" s="53"/>
      <c r="M293" s="547">
        <v>60</v>
      </c>
      <c r="N293" s="547">
        <v>70</v>
      </c>
      <c r="O293" s="547">
        <v>70</v>
      </c>
      <c r="P293" s="133">
        <v>70</v>
      </c>
      <c r="Q293" s="133">
        <v>60</v>
      </c>
      <c r="R293" s="133">
        <v>70</v>
      </c>
      <c r="S293" s="133">
        <v>60</v>
      </c>
      <c r="T293" s="133">
        <v>60</v>
      </c>
    </row>
    <row r="294" spans="1:20" ht="12" hidden="1" customHeight="1" outlineLevel="1" x14ac:dyDescent="0.2">
      <c r="A294" s="44"/>
      <c r="B294" s="10">
        <v>632002</v>
      </c>
      <c r="C294" s="11" t="s">
        <v>94</v>
      </c>
      <c r="D294" s="20">
        <v>15</v>
      </c>
      <c r="E294" s="47"/>
      <c r="F294" s="46">
        <f t="shared" ref="F294:F303" si="41">+D294</f>
        <v>15</v>
      </c>
      <c r="G294" s="6">
        <v>4</v>
      </c>
      <c r="H294" s="74">
        <f>+G294/D294</f>
        <v>0.26666666666666666</v>
      </c>
      <c r="I294" s="6">
        <v>10</v>
      </c>
      <c r="J294" s="133">
        <v>25</v>
      </c>
      <c r="L294" s="53"/>
      <c r="M294" s="547">
        <v>35</v>
      </c>
      <c r="N294" s="547">
        <v>45</v>
      </c>
      <c r="O294" s="547">
        <v>45</v>
      </c>
      <c r="P294" s="133">
        <v>45</v>
      </c>
      <c r="Q294" s="133">
        <v>35</v>
      </c>
      <c r="R294" s="133">
        <v>45</v>
      </c>
      <c r="S294" s="133">
        <v>35</v>
      </c>
      <c r="T294" s="133">
        <v>35</v>
      </c>
    </row>
    <row r="295" spans="1:20" ht="12" customHeight="1" collapsed="1" x14ac:dyDescent="0.2">
      <c r="A295" s="44"/>
      <c r="B295" s="45">
        <v>637</v>
      </c>
      <c r="C295" s="47" t="s">
        <v>48</v>
      </c>
      <c r="D295" s="71"/>
      <c r="E295" s="69"/>
      <c r="F295" s="62"/>
      <c r="G295" s="83">
        <f>SUM(G296:G296)</f>
        <v>3</v>
      </c>
      <c r="H295" s="69">
        <f>SUM(H296:H296)</f>
        <v>0.3</v>
      </c>
      <c r="I295" s="72">
        <f>SUM(I296:I296)</f>
        <v>10</v>
      </c>
      <c r="J295" s="6">
        <v>200</v>
      </c>
      <c r="L295" s="53"/>
      <c r="M295" s="547">
        <v>2249.42</v>
      </c>
      <c r="N295" s="549">
        <v>200</v>
      </c>
      <c r="O295" s="547">
        <v>2665.8</v>
      </c>
      <c r="P295" s="133">
        <v>700</v>
      </c>
      <c r="Q295" s="133">
        <v>2500</v>
      </c>
      <c r="R295" s="133">
        <v>2000</v>
      </c>
      <c r="S295" s="133">
        <v>2000</v>
      </c>
      <c r="T295" s="133">
        <v>0</v>
      </c>
    </row>
    <row r="296" spans="1:20" ht="12" hidden="1" customHeight="1" outlineLevel="1" x14ac:dyDescent="0.2">
      <c r="A296" s="44"/>
      <c r="B296" s="10">
        <v>635006</v>
      </c>
      <c r="C296" s="11" t="s">
        <v>106</v>
      </c>
      <c r="D296" s="20">
        <v>10</v>
      </c>
      <c r="E296" s="47"/>
      <c r="F296" s="46">
        <f t="shared" si="41"/>
        <v>10</v>
      </c>
      <c r="G296" s="6">
        <v>3</v>
      </c>
      <c r="H296" s="74">
        <f>+G296/D296</f>
        <v>0.3</v>
      </c>
      <c r="I296" s="6">
        <f>+F296</f>
        <v>10</v>
      </c>
      <c r="J296" s="133">
        <v>20</v>
      </c>
      <c r="L296" s="53"/>
      <c r="M296" s="547">
        <v>20</v>
      </c>
      <c r="N296" s="547">
        <v>20</v>
      </c>
      <c r="O296" s="547">
        <v>20</v>
      </c>
      <c r="P296" s="133">
        <v>20</v>
      </c>
      <c r="Q296" s="133">
        <v>20</v>
      </c>
      <c r="R296" s="133">
        <v>20</v>
      </c>
      <c r="S296" s="133">
        <v>20</v>
      </c>
      <c r="T296" s="133">
        <v>20</v>
      </c>
    </row>
    <row r="297" spans="1:20" ht="14.25" customHeight="1" collapsed="1" x14ac:dyDescent="0.2">
      <c r="A297" s="44"/>
      <c r="B297" s="137">
        <v>642</v>
      </c>
      <c r="C297" s="47" t="s">
        <v>254</v>
      </c>
      <c r="D297" s="61"/>
      <c r="E297" s="69"/>
      <c r="F297" s="62"/>
      <c r="G297" s="77">
        <f>SUM(G298:G301)</f>
        <v>145</v>
      </c>
      <c r="H297" s="62">
        <f>SUM(H298:H301)</f>
        <v>3.6514285714285712</v>
      </c>
      <c r="I297" s="64">
        <f>SUM(I298:I301)</f>
        <v>183</v>
      </c>
      <c r="J297" s="267"/>
      <c r="L297" s="53"/>
      <c r="M297" s="547">
        <v>4096.8999999999996</v>
      </c>
      <c r="N297" s="548"/>
      <c r="O297" s="547">
        <v>1043.9000000000001</v>
      </c>
      <c r="P297" s="132">
        <v>4100</v>
      </c>
      <c r="Q297" s="132">
        <v>2000</v>
      </c>
      <c r="R297" s="132">
        <v>4100</v>
      </c>
      <c r="S297" s="132">
        <v>2000</v>
      </c>
      <c r="T297" s="132">
        <v>2000</v>
      </c>
    </row>
    <row r="298" spans="1:20" ht="12" hidden="1" customHeight="1" outlineLevel="1" x14ac:dyDescent="0.2">
      <c r="A298" s="44"/>
      <c r="B298" s="10">
        <v>637001</v>
      </c>
      <c r="C298" s="11" t="s">
        <v>108</v>
      </c>
      <c r="D298" s="46">
        <v>50</v>
      </c>
      <c r="E298" s="47"/>
      <c r="F298" s="46">
        <f t="shared" si="41"/>
        <v>50</v>
      </c>
      <c r="G298" s="6">
        <f>63+11</f>
        <v>74</v>
      </c>
      <c r="H298" s="74">
        <f>+G298/D298</f>
        <v>1.48</v>
      </c>
      <c r="I298" s="6">
        <v>100</v>
      </c>
      <c r="J298" s="133">
        <v>50</v>
      </c>
      <c r="L298" s="53"/>
      <c r="M298" s="547">
        <v>60</v>
      </c>
      <c r="N298" s="547">
        <v>70</v>
      </c>
      <c r="O298" s="547">
        <v>70</v>
      </c>
      <c r="P298" s="133">
        <v>70</v>
      </c>
      <c r="Q298" s="133">
        <v>60</v>
      </c>
      <c r="R298" s="133">
        <v>60</v>
      </c>
      <c r="S298" s="133">
        <v>60</v>
      </c>
      <c r="T298" s="133">
        <v>60</v>
      </c>
    </row>
    <row r="299" spans="1:20" ht="12" hidden="1" customHeight="1" outlineLevel="1" x14ac:dyDescent="0.2">
      <c r="A299" s="44"/>
      <c r="B299" s="10">
        <v>637005</v>
      </c>
      <c r="C299" s="11" t="s">
        <v>110</v>
      </c>
      <c r="D299" s="20">
        <v>10</v>
      </c>
      <c r="E299" s="47"/>
      <c r="F299" s="46">
        <f t="shared" si="41"/>
        <v>10</v>
      </c>
      <c r="G299" s="6">
        <v>11</v>
      </c>
      <c r="H299" s="74">
        <f>+G299/D299</f>
        <v>1.1000000000000001</v>
      </c>
      <c r="I299" s="4">
        <v>15</v>
      </c>
      <c r="J299" s="132">
        <v>20</v>
      </c>
      <c r="L299" s="53"/>
      <c r="M299" s="547">
        <v>30</v>
      </c>
      <c r="N299" s="547">
        <v>30</v>
      </c>
      <c r="O299" s="547">
        <v>30</v>
      </c>
      <c r="P299" s="132">
        <v>30</v>
      </c>
      <c r="Q299" s="132">
        <v>30</v>
      </c>
      <c r="R299" s="132">
        <v>30</v>
      </c>
      <c r="S299" s="132">
        <v>30</v>
      </c>
      <c r="T299" s="132">
        <v>30</v>
      </c>
    </row>
    <row r="300" spans="1:20" ht="12" hidden="1" customHeight="1" outlineLevel="1" x14ac:dyDescent="0.2">
      <c r="A300" s="44"/>
      <c r="B300" s="10">
        <v>637012</v>
      </c>
      <c r="C300" s="11" t="s">
        <v>111</v>
      </c>
      <c r="D300" s="20">
        <v>56</v>
      </c>
      <c r="E300" s="47"/>
      <c r="F300" s="46">
        <f t="shared" si="41"/>
        <v>56</v>
      </c>
      <c r="G300" s="6">
        <v>60</v>
      </c>
      <c r="H300" s="74">
        <f>+G300/D300</f>
        <v>1.0714285714285714</v>
      </c>
      <c r="I300" s="4">
        <v>60</v>
      </c>
      <c r="J300" s="132">
        <v>20</v>
      </c>
      <c r="L300" s="53"/>
      <c r="M300" s="547">
        <v>30</v>
      </c>
      <c r="N300" s="547">
        <v>40</v>
      </c>
      <c r="O300" s="547">
        <v>40</v>
      </c>
      <c r="P300" s="132">
        <v>40</v>
      </c>
      <c r="Q300" s="132">
        <v>30</v>
      </c>
      <c r="R300" s="132">
        <v>30</v>
      </c>
      <c r="S300" s="132">
        <v>30</v>
      </c>
      <c r="T300" s="132">
        <v>30</v>
      </c>
    </row>
    <row r="301" spans="1:20" ht="12" hidden="1" customHeight="1" outlineLevel="1" x14ac:dyDescent="0.2">
      <c r="A301" s="44"/>
      <c r="B301" s="10">
        <v>637026</v>
      </c>
      <c r="C301" s="11" t="s">
        <v>113</v>
      </c>
      <c r="D301" s="20">
        <v>8</v>
      </c>
      <c r="E301" s="47"/>
      <c r="F301" s="46">
        <f t="shared" si="41"/>
        <v>8</v>
      </c>
      <c r="G301" s="6">
        <v>0</v>
      </c>
      <c r="H301" s="74">
        <f>+G301/D301</f>
        <v>0</v>
      </c>
      <c r="I301" s="4">
        <v>8</v>
      </c>
      <c r="J301" s="132">
        <v>20</v>
      </c>
      <c r="L301" s="53"/>
      <c r="M301" s="547">
        <v>30</v>
      </c>
      <c r="N301" s="547">
        <v>40</v>
      </c>
      <c r="O301" s="547">
        <v>40</v>
      </c>
      <c r="P301" s="132">
        <v>40</v>
      </c>
      <c r="Q301" s="132">
        <v>30</v>
      </c>
      <c r="R301" s="132">
        <v>30</v>
      </c>
      <c r="S301" s="132">
        <v>30</v>
      </c>
      <c r="T301" s="132">
        <v>30</v>
      </c>
    </row>
    <row r="302" spans="1:20" ht="12" hidden="1" customHeight="1" collapsed="1" x14ac:dyDescent="0.2">
      <c r="A302" s="44"/>
      <c r="B302" s="59"/>
      <c r="C302" s="50"/>
      <c r="D302" s="61"/>
      <c r="E302" s="69"/>
      <c r="F302" s="61"/>
      <c r="G302" s="61">
        <f>SUM(G303:G303)</f>
        <v>76</v>
      </c>
      <c r="H302" s="63">
        <f>SUM(H303:H303)</f>
        <v>0.76</v>
      </c>
      <c r="I302" s="64">
        <f>SUM(I303:I303)</f>
        <v>100</v>
      </c>
      <c r="J302" s="131"/>
      <c r="L302" s="53"/>
      <c r="M302" s="548">
        <f t="shared" ref="M302:T302" si="42">M303</f>
        <v>200</v>
      </c>
      <c r="N302" s="548">
        <f t="shared" si="42"/>
        <v>200</v>
      </c>
      <c r="O302" s="548">
        <f t="shared" si="42"/>
        <v>200</v>
      </c>
      <c r="P302" s="131">
        <f t="shared" si="42"/>
        <v>200</v>
      </c>
      <c r="Q302" s="131">
        <f t="shared" si="42"/>
        <v>200</v>
      </c>
      <c r="R302" s="131">
        <f t="shared" si="42"/>
        <v>200</v>
      </c>
      <c r="S302" s="131">
        <f t="shared" si="42"/>
        <v>200</v>
      </c>
      <c r="T302" s="131">
        <f t="shared" si="42"/>
        <v>200</v>
      </c>
    </row>
    <row r="303" spans="1:20" ht="12" hidden="1" customHeight="1" outlineLevel="1" x14ac:dyDescent="0.2">
      <c r="A303" s="44"/>
      <c r="B303" s="10">
        <v>642002</v>
      </c>
      <c r="C303" s="11" t="s">
        <v>124</v>
      </c>
      <c r="D303" s="20">
        <v>100</v>
      </c>
      <c r="E303" s="47"/>
      <c r="F303" s="46">
        <f t="shared" si="41"/>
        <v>100</v>
      </c>
      <c r="G303" s="6">
        <v>76</v>
      </c>
      <c r="H303" s="74">
        <f>+G303/D303</f>
        <v>0.76</v>
      </c>
      <c r="I303" s="4">
        <v>100</v>
      </c>
      <c r="J303" s="132"/>
      <c r="L303" s="53"/>
      <c r="M303" s="547">
        <v>200</v>
      </c>
      <c r="N303" s="547">
        <v>200</v>
      </c>
      <c r="O303" s="547">
        <v>200</v>
      </c>
      <c r="P303" s="132">
        <v>200</v>
      </c>
      <c r="Q303" s="132">
        <v>200</v>
      </c>
      <c r="R303" s="132">
        <v>200</v>
      </c>
      <c r="S303" s="132">
        <v>200</v>
      </c>
      <c r="T303" s="132">
        <v>200</v>
      </c>
    </row>
    <row r="304" spans="1:20" ht="12" customHeight="1" outlineLevel="1" x14ac:dyDescent="0.2">
      <c r="A304" s="438" t="s">
        <v>255</v>
      </c>
      <c r="B304" s="422" t="s">
        <v>256</v>
      </c>
      <c r="C304" s="423"/>
      <c r="D304" s="469"/>
      <c r="E304" s="433"/>
      <c r="F304" s="543"/>
      <c r="G304" s="470"/>
      <c r="H304" s="471"/>
      <c r="I304" s="428"/>
      <c r="J304" s="428"/>
      <c r="K304" s="472"/>
      <c r="L304" s="504"/>
      <c r="M304" s="550">
        <f>M305+M306</f>
        <v>1475.25</v>
      </c>
      <c r="N304" s="550"/>
      <c r="O304" s="550">
        <f t="shared" ref="O304:T304" si="43">O305+O306</f>
        <v>3923.68</v>
      </c>
      <c r="P304" s="428">
        <f t="shared" si="43"/>
        <v>1400</v>
      </c>
      <c r="Q304" s="428">
        <f t="shared" si="43"/>
        <v>500</v>
      </c>
      <c r="R304" s="428">
        <f t="shared" si="43"/>
        <v>1400</v>
      </c>
      <c r="S304" s="428">
        <f t="shared" si="43"/>
        <v>1500</v>
      </c>
      <c r="T304" s="428">
        <f t="shared" si="43"/>
        <v>1450</v>
      </c>
    </row>
    <row r="305" spans="1:20" ht="12" customHeight="1" outlineLevel="1" x14ac:dyDescent="0.2">
      <c r="A305" s="44"/>
      <c r="B305" s="10">
        <v>633</v>
      </c>
      <c r="C305" s="11" t="s">
        <v>98</v>
      </c>
      <c r="D305" s="20"/>
      <c r="E305" s="47"/>
      <c r="F305" s="46"/>
      <c r="G305" s="75"/>
      <c r="H305" s="74"/>
      <c r="I305" s="4"/>
      <c r="J305" s="132"/>
      <c r="L305" s="53"/>
      <c r="M305" s="547">
        <v>0</v>
      </c>
      <c r="N305" s="547"/>
      <c r="O305" s="547">
        <v>0</v>
      </c>
      <c r="P305" s="132">
        <v>100</v>
      </c>
      <c r="Q305" s="132">
        <v>100</v>
      </c>
      <c r="R305" s="132">
        <v>100</v>
      </c>
      <c r="S305" s="132">
        <v>200</v>
      </c>
      <c r="T305" s="132">
        <v>350</v>
      </c>
    </row>
    <row r="306" spans="1:20" ht="12" customHeight="1" outlineLevel="1" x14ac:dyDescent="0.2">
      <c r="A306" s="44"/>
      <c r="B306" s="10">
        <v>637</v>
      </c>
      <c r="C306" s="11" t="s">
        <v>48</v>
      </c>
      <c r="D306" s="20"/>
      <c r="E306" s="47"/>
      <c r="F306" s="46"/>
      <c r="G306" s="75"/>
      <c r="H306" s="74"/>
      <c r="I306" s="4"/>
      <c r="J306" s="132"/>
      <c r="L306" s="53"/>
      <c r="M306" s="547">
        <v>1475.25</v>
      </c>
      <c r="N306" s="547"/>
      <c r="O306" s="547">
        <v>3923.68</v>
      </c>
      <c r="P306" s="132">
        <v>1300</v>
      </c>
      <c r="Q306" s="132">
        <v>400</v>
      </c>
      <c r="R306" s="132">
        <v>1300</v>
      </c>
      <c r="S306" s="132">
        <v>1300</v>
      </c>
      <c r="T306" s="132">
        <v>1100</v>
      </c>
    </row>
    <row r="307" spans="1:20" ht="12" customHeight="1" outlineLevel="1" x14ac:dyDescent="0.2">
      <c r="A307" s="438" t="s">
        <v>257</v>
      </c>
      <c r="B307" s="422" t="s">
        <v>285</v>
      </c>
      <c r="C307" s="423"/>
      <c r="D307" s="469"/>
      <c r="E307" s="433"/>
      <c r="F307" s="543"/>
      <c r="G307" s="470"/>
      <c r="H307" s="471"/>
      <c r="I307" s="428"/>
      <c r="J307" s="428"/>
      <c r="K307" s="472"/>
      <c r="L307" s="504"/>
      <c r="M307" s="550">
        <f>M308+M309</f>
        <v>11604.07</v>
      </c>
      <c r="N307" s="550"/>
      <c r="O307" s="550">
        <f>O308+O309</f>
        <v>13990.09</v>
      </c>
      <c r="P307" s="428">
        <f>P308+P309</f>
        <v>12000</v>
      </c>
      <c r="Q307" s="428">
        <f>Q308+Q309</f>
        <v>52180.639999999999</v>
      </c>
      <c r="R307" s="428">
        <f>R308+R309</f>
        <v>5000</v>
      </c>
      <c r="S307" s="428">
        <f>S308+S309</f>
        <v>3500</v>
      </c>
      <c r="T307" s="428">
        <v>3300</v>
      </c>
    </row>
    <row r="308" spans="1:20" ht="12" customHeight="1" outlineLevel="1" x14ac:dyDescent="0.2">
      <c r="A308" s="468"/>
      <c r="B308" s="665" t="s">
        <v>345</v>
      </c>
      <c r="C308" s="135" t="s">
        <v>346</v>
      </c>
      <c r="D308" s="20"/>
      <c r="E308" s="47"/>
      <c r="F308" s="46"/>
      <c r="G308" s="75"/>
      <c r="H308" s="74"/>
      <c r="I308" s="4"/>
      <c r="J308" s="132"/>
      <c r="L308" s="53"/>
      <c r="M308" s="547">
        <v>98.3</v>
      </c>
      <c r="N308" s="547"/>
      <c r="O308" s="547">
        <v>587.66</v>
      </c>
      <c r="P308" s="132">
        <v>500</v>
      </c>
      <c r="Q308" s="132">
        <v>2600</v>
      </c>
      <c r="R308" s="132">
        <v>1500</v>
      </c>
      <c r="S308" s="132">
        <v>1500</v>
      </c>
      <c r="T308" s="132">
        <v>300</v>
      </c>
    </row>
    <row r="309" spans="1:20" ht="12" customHeight="1" outlineLevel="1" x14ac:dyDescent="0.2">
      <c r="A309" s="44"/>
      <c r="B309" s="665" t="s">
        <v>244</v>
      </c>
      <c r="C309" s="11" t="s">
        <v>347</v>
      </c>
      <c r="D309" s="20"/>
      <c r="E309" s="47"/>
      <c r="F309" s="46"/>
      <c r="G309" s="75"/>
      <c r="H309" s="74"/>
      <c r="I309" s="4"/>
      <c r="J309" s="132"/>
      <c r="L309" s="53"/>
      <c r="M309" s="547">
        <v>11505.77</v>
      </c>
      <c r="N309" s="547"/>
      <c r="O309" s="547">
        <v>13402.43</v>
      </c>
      <c r="P309" s="132">
        <v>11500</v>
      </c>
      <c r="Q309" s="132">
        <v>49580.639999999999</v>
      </c>
      <c r="R309" s="132">
        <v>3500</v>
      </c>
      <c r="S309" s="132">
        <v>2000</v>
      </c>
      <c r="T309" s="132">
        <v>3000</v>
      </c>
    </row>
    <row r="310" spans="1:20" ht="12" customHeight="1" x14ac:dyDescent="0.2">
      <c r="A310" s="283" t="s">
        <v>269</v>
      </c>
      <c r="B310" s="237"/>
      <c r="C310" s="238"/>
      <c r="D310" s="222">
        <f>SUM(D315:D319)</f>
        <v>5535</v>
      </c>
      <c r="E310" s="223">
        <f>SUM(E315:E318)</f>
        <v>0</v>
      </c>
      <c r="F310" s="222">
        <f>SUM(F315:F319)</f>
        <v>6469</v>
      </c>
      <c r="G310" s="222">
        <f t="shared" ref="G310:I311" si="44">+G311+G314</f>
        <v>59</v>
      </c>
      <c r="H310" s="223">
        <f t="shared" si="44"/>
        <v>0.98857142857142855</v>
      </c>
      <c r="I310" s="225">
        <f t="shared" si="44"/>
        <v>230</v>
      </c>
      <c r="J310" s="235">
        <f>J311</f>
        <v>0</v>
      </c>
      <c r="K310" s="228"/>
      <c r="L310" s="228"/>
      <c r="M310" s="553">
        <f>M337+M338+M339+M340+M341+M342+M343+M344</f>
        <v>112418.9</v>
      </c>
      <c r="N310" s="553">
        <f>N311+N314</f>
        <v>690</v>
      </c>
      <c r="O310" s="553">
        <f t="shared" ref="O310:T310" si="45">O337+O338+O339+O340+O341+O342+O343+O344</f>
        <v>128756.93000000001</v>
      </c>
      <c r="P310" s="235">
        <f t="shared" si="45"/>
        <v>122661</v>
      </c>
      <c r="Q310" s="235">
        <f t="shared" si="45"/>
        <v>124072</v>
      </c>
      <c r="R310" s="235">
        <f t="shared" si="45"/>
        <v>123411</v>
      </c>
      <c r="S310" s="235">
        <f t="shared" si="45"/>
        <v>122061</v>
      </c>
      <c r="T310" s="235">
        <f t="shared" si="45"/>
        <v>118102</v>
      </c>
    </row>
    <row r="311" spans="1:20" ht="12" hidden="1" customHeight="1" x14ac:dyDescent="0.2">
      <c r="A311" s="219" t="s">
        <v>139</v>
      </c>
      <c r="B311" s="237"/>
      <c r="C311" s="249"/>
      <c r="D311" s="222">
        <f>SUM(D313:D316)</f>
        <v>180</v>
      </c>
      <c r="E311" s="223">
        <f>SUM(E313:E316)</f>
        <v>0</v>
      </c>
      <c r="F311" s="222">
        <f>SUM(F313:F316)</f>
        <v>180</v>
      </c>
      <c r="G311" s="222">
        <f t="shared" si="44"/>
        <v>55</v>
      </c>
      <c r="H311" s="223">
        <f t="shared" si="44"/>
        <v>0.90857142857142859</v>
      </c>
      <c r="I311" s="225">
        <f t="shared" si="44"/>
        <v>180</v>
      </c>
      <c r="J311" s="235">
        <f>J312+J315</f>
        <v>0</v>
      </c>
      <c r="K311" s="228"/>
      <c r="L311" s="229"/>
      <c r="M311" s="553">
        <f t="shared" ref="M311:T311" si="46">M312+M315</f>
        <v>430</v>
      </c>
      <c r="N311" s="553">
        <f t="shared" si="46"/>
        <v>490</v>
      </c>
      <c r="O311" s="553">
        <f t="shared" si="46"/>
        <v>490</v>
      </c>
      <c r="P311" s="235">
        <f t="shared" si="46"/>
        <v>490</v>
      </c>
      <c r="Q311" s="235">
        <f t="shared" si="46"/>
        <v>430</v>
      </c>
      <c r="R311" s="235">
        <f t="shared" si="46"/>
        <v>430</v>
      </c>
      <c r="S311" s="235">
        <f t="shared" si="46"/>
        <v>430</v>
      </c>
      <c r="T311" s="235">
        <f t="shared" si="46"/>
        <v>430</v>
      </c>
    </row>
    <row r="312" spans="1:20" ht="12" hidden="1" customHeight="1" x14ac:dyDescent="0.2">
      <c r="A312" s="68"/>
      <c r="B312" s="49">
        <v>633</v>
      </c>
      <c r="C312" s="69" t="s">
        <v>46</v>
      </c>
      <c r="D312" s="61"/>
      <c r="E312" s="69"/>
      <c r="F312" s="61">
        <f>+D312</f>
        <v>0</v>
      </c>
      <c r="G312" s="61">
        <f>+G313+G314</f>
        <v>13</v>
      </c>
      <c r="H312" s="63">
        <f>+H313+H314</f>
        <v>0.20857142857142857</v>
      </c>
      <c r="I312" s="64">
        <f>+I313+I314</f>
        <v>120</v>
      </c>
      <c r="J312" s="131">
        <v>0</v>
      </c>
      <c r="L312" s="53"/>
      <c r="M312" s="548">
        <f t="shared" ref="M312:T312" si="47">M313+M314</f>
        <v>400</v>
      </c>
      <c r="N312" s="548">
        <f t="shared" si="47"/>
        <v>450</v>
      </c>
      <c r="O312" s="548">
        <f t="shared" si="47"/>
        <v>450</v>
      </c>
      <c r="P312" s="131">
        <f t="shared" si="47"/>
        <v>450</v>
      </c>
      <c r="Q312" s="131">
        <f t="shared" si="47"/>
        <v>400</v>
      </c>
      <c r="R312" s="131">
        <f t="shared" si="47"/>
        <v>400</v>
      </c>
      <c r="S312" s="131">
        <f t="shared" si="47"/>
        <v>400</v>
      </c>
      <c r="T312" s="131">
        <f t="shared" si="47"/>
        <v>400</v>
      </c>
    </row>
    <row r="313" spans="1:20" ht="12" hidden="1" customHeight="1" outlineLevel="1" x14ac:dyDescent="0.2">
      <c r="A313" s="44"/>
      <c r="B313" s="10" t="s">
        <v>170</v>
      </c>
      <c r="C313" s="73" t="s">
        <v>98</v>
      </c>
      <c r="D313" s="20">
        <v>70</v>
      </c>
      <c r="E313" s="47"/>
      <c r="F313" s="20">
        <f>+D313</f>
        <v>70</v>
      </c>
      <c r="G313" s="6">
        <v>9</v>
      </c>
      <c r="H313" s="74">
        <f>+G313/D313</f>
        <v>0.12857142857142856</v>
      </c>
      <c r="I313" s="4">
        <f>+F313</f>
        <v>70</v>
      </c>
      <c r="J313" s="132">
        <v>0</v>
      </c>
      <c r="L313" s="53"/>
      <c r="M313" s="547">
        <v>200</v>
      </c>
      <c r="N313" s="547">
        <v>250</v>
      </c>
      <c r="O313" s="547">
        <v>250</v>
      </c>
      <c r="P313" s="132">
        <v>250</v>
      </c>
      <c r="Q313" s="132">
        <v>200</v>
      </c>
      <c r="R313" s="132">
        <v>200</v>
      </c>
      <c r="S313" s="132">
        <v>200</v>
      </c>
      <c r="T313" s="132">
        <v>200</v>
      </c>
    </row>
    <row r="314" spans="1:20" ht="12" hidden="1" customHeight="1" outlineLevel="1" x14ac:dyDescent="0.2">
      <c r="A314" s="44"/>
      <c r="B314" s="10" t="s">
        <v>171</v>
      </c>
      <c r="C314" s="73" t="s">
        <v>98</v>
      </c>
      <c r="D314" s="20">
        <v>50</v>
      </c>
      <c r="E314" s="47"/>
      <c r="F314" s="20">
        <f>+D314</f>
        <v>50</v>
      </c>
      <c r="G314" s="6">
        <v>4</v>
      </c>
      <c r="H314" s="74">
        <f>+G314/D314</f>
        <v>0.08</v>
      </c>
      <c r="I314" s="4">
        <f>+F314</f>
        <v>50</v>
      </c>
      <c r="J314" s="132">
        <v>0</v>
      </c>
      <c r="L314" s="53"/>
      <c r="M314" s="547">
        <v>200</v>
      </c>
      <c r="N314" s="547">
        <v>200</v>
      </c>
      <c r="O314" s="547">
        <v>200</v>
      </c>
      <c r="P314" s="132">
        <v>200</v>
      </c>
      <c r="Q314" s="132">
        <v>200</v>
      </c>
      <c r="R314" s="132">
        <v>200</v>
      </c>
      <c r="S314" s="132">
        <v>200</v>
      </c>
      <c r="T314" s="132">
        <v>200</v>
      </c>
    </row>
    <row r="315" spans="1:20" ht="12" hidden="1" customHeight="1" collapsed="1" x14ac:dyDescent="0.2">
      <c r="A315" s="44"/>
      <c r="B315" s="59">
        <v>642</v>
      </c>
      <c r="C315" s="50" t="s">
        <v>51</v>
      </c>
      <c r="D315" s="61"/>
      <c r="E315" s="69"/>
      <c r="F315" s="61"/>
      <c r="G315" s="61">
        <f>+G316</f>
        <v>42</v>
      </c>
      <c r="H315" s="63">
        <f>+H316</f>
        <v>0.7</v>
      </c>
      <c r="I315" s="64">
        <f>+I316</f>
        <v>60</v>
      </c>
      <c r="J315" s="131">
        <v>0</v>
      </c>
      <c r="L315" s="53"/>
      <c r="M315" s="548">
        <f t="shared" ref="M315:T315" si="48">M316</f>
        <v>30</v>
      </c>
      <c r="N315" s="548">
        <f t="shared" si="48"/>
        <v>40</v>
      </c>
      <c r="O315" s="548">
        <f t="shared" si="48"/>
        <v>40</v>
      </c>
      <c r="P315" s="131">
        <f t="shared" si="48"/>
        <v>40</v>
      </c>
      <c r="Q315" s="131">
        <f t="shared" si="48"/>
        <v>30</v>
      </c>
      <c r="R315" s="131">
        <f t="shared" si="48"/>
        <v>30</v>
      </c>
      <c r="S315" s="131">
        <f t="shared" si="48"/>
        <v>30</v>
      </c>
      <c r="T315" s="131">
        <f t="shared" si="48"/>
        <v>30</v>
      </c>
    </row>
    <row r="316" spans="1:20" ht="10.5" hidden="1" customHeight="1" outlineLevel="1" x14ac:dyDescent="0.2">
      <c r="A316" s="44"/>
      <c r="B316" s="10">
        <v>642026</v>
      </c>
      <c r="C316" s="73" t="s">
        <v>125</v>
      </c>
      <c r="D316" s="20">
        <v>60</v>
      </c>
      <c r="E316" s="47"/>
      <c r="F316" s="20">
        <f>+D316</f>
        <v>60</v>
      </c>
      <c r="G316" s="6">
        <v>42</v>
      </c>
      <c r="H316" s="74">
        <f>+G316/D316</f>
        <v>0.7</v>
      </c>
      <c r="I316" s="4">
        <f>+F316</f>
        <v>60</v>
      </c>
      <c r="J316" s="132">
        <v>0</v>
      </c>
      <c r="L316" s="53"/>
      <c r="M316" s="547">
        <v>30</v>
      </c>
      <c r="N316" s="547">
        <v>40</v>
      </c>
      <c r="O316" s="547">
        <v>40</v>
      </c>
      <c r="P316" s="132">
        <v>40</v>
      </c>
      <c r="Q316" s="132">
        <v>30</v>
      </c>
      <c r="R316" s="132">
        <v>30</v>
      </c>
      <c r="S316" s="132">
        <v>30</v>
      </c>
      <c r="T316" s="132">
        <v>30</v>
      </c>
    </row>
    <row r="317" spans="1:20" ht="12" hidden="1" customHeight="1" collapsed="1" x14ac:dyDescent="0.2">
      <c r="A317" s="44"/>
      <c r="B317" s="10"/>
      <c r="C317" s="11"/>
      <c r="D317" s="58"/>
      <c r="E317" s="47"/>
      <c r="F317" s="58"/>
      <c r="G317" s="47"/>
      <c r="H317" s="74"/>
      <c r="I317" s="4"/>
      <c r="J317" s="131"/>
      <c r="K317" s="14" t="s">
        <v>66</v>
      </c>
      <c r="L317" s="53"/>
      <c r="M317" s="548"/>
      <c r="N317" s="548"/>
      <c r="O317" s="548"/>
      <c r="P317" s="131"/>
      <c r="Q317" s="131"/>
      <c r="R317" s="131"/>
      <c r="S317" s="131"/>
      <c r="T317" s="131"/>
    </row>
    <row r="318" spans="1:20" ht="12" hidden="1" customHeight="1" x14ac:dyDescent="0.2">
      <c r="A318" s="219" t="s">
        <v>161</v>
      </c>
      <c r="B318" s="220"/>
      <c r="C318" s="221"/>
      <c r="D318" s="222">
        <f>SUM(D319:D325)</f>
        <v>5156</v>
      </c>
      <c r="E318" s="223">
        <f>SUM(E319:E324)</f>
        <v>0</v>
      </c>
      <c r="F318" s="222">
        <f>SUM(F319:F325)</f>
        <v>5623</v>
      </c>
      <c r="G318" s="225">
        <f>SUM(G319:G325)</f>
        <v>4331</v>
      </c>
      <c r="H318" s="226">
        <f>+G318/D318</f>
        <v>0.8399922420480993</v>
      </c>
      <c r="I318" s="225">
        <f>SUM(I319:I325)</f>
        <v>5923</v>
      </c>
      <c r="J318" s="235">
        <v>0</v>
      </c>
      <c r="K318" s="228">
        <v>1200</v>
      </c>
      <c r="L318" s="229"/>
      <c r="M318" s="553">
        <f t="shared" ref="M318:T318" si="49">M319+M320+M321+M322+M323+M324+M325</f>
        <v>5480</v>
      </c>
      <c r="N318" s="553">
        <f t="shared" si="49"/>
        <v>5780</v>
      </c>
      <c r="O318" s="553">
        <f t="shared" si="49"/>
        <v>5780</v>
      </c>
      <c r="P318" s="235">
        <f t="shared" si="49"/>
        <v>5780</v>
      </c>
      <c r="Q318" s="235">
        <f t="shared" si="49"/>
        <v>5480</v>
      </c>
      <c r="R318" s="235">
        <f t="shared" si="49"/>
        <v>5480</v>
      </c>
      <c r="S318" s="235">
        <f t="shared" si="49"/>
        <v>5480</v>
      </c>
      <c r="T318" s="235">
        <f t="shared" si="49"/>
        <v>5480</v>
      </c>
    </row>
    <row r="319" spans="1:20" ht="12" hidden="1" customHeight="1" outlineLevel="1" x14ac:dyDescent="0.2">
      <c r="A319" s="44"/>
      <c r="B319" s="45"/>
      <c r="C319" s="11" t="s">
        <v>143</v>
      </c>
      <c r="D319" s="46">
        <v>319</v>
      </c>
      <c r="E319" s="47"/>
      <c r="F319" s="46">
        <f>467+D319</f>
        <v>786</v>
      </c>
      <c r="G319" s="6">
        <v>599</v>
      </c>
      <c r="H319" s="74">
        <f>+G319/F319</f>
        <v>0.7620865139949109</v>
      </c>
      <c r="I319" s="6">
        <f t="shared" ref="I319:I325" si="50">+F319</f>
        <v>786</v>
      </c>
      <c r="J319" s="133">
        <v>800</v>
      </c>
      <c r="K319" s="14">
        <v>3301</v>
      </c>
      <c r="L319" s="53"/>
      <c r="M319" s="547">
        <v>800</v>
      </c>
      <c r="N319" s="547">
        <v>900</v>
      </c>
      <c r="O319" s="547">
        <v>900</v>
      </c>
      <c r="P319" s="133">
        <v>900</v>
      </c>
      <c r="Q319" s="133">
        <v>800</v>
      </c>
      <c r="R319" s="133">
        <v>800</v>
      </c>
      <c r="S319" s="133">
        <v>800</v>
      </c>
      <c r="T319" s="133">
        <v>800</v>
      </c>
    </row>
    <row r="320" spans="1:20" ht="12" hidden="1" customHeight="1" outlineLevel="1" x14ac:dyDescent="0.2">
      <c r="A320" s="44"/>
      <c r="B320" s="45"/>
      <c r="C320" s="11" t="s">
        <v>142</v>
      </c>
      <c r="D320" s="20">
        <v>3210</v>
      </c>
      <c r="E320" s="47"/>
      <c r="F320" s="20">
        <f>+D320</f>
        <v>3210</v>
      </c>
      <c r="G320" s="6">
        <v>2394</v>
      </c>
      <c r="H320" s="74">
        <f>+G320/D320</f>
        <v>0.74579439252336444</v>
      </c>
      <c r="I320" s="4">
        <f t="shared" si="50"/>
        <v>3210</v>
      </c>
      <c r="J320" s="132">
        <v>2900</v>
      </c>
      <c r="K320" s="14">
        <v>0</v>
      </c>
      <c r="L320" s="53"/>
      <c r="M320" s="547">
        <v>2900</v>
      </c>
      <c r="N320" s="547">
        <v>3000</v>
      </c>
      <c r="O320" s="547">
        <v>3000</v>
      </c>
      <c r="P320" s="132">
        <v>3000</v>
      </c>
      <c r="Q320" s="132">
        <v>2900</v>
      </c>
      <c r="R320" s="132">
        <v>2900</v>
      </c>
      <c r="S320" s="132">
        <v>2900</v>
      </c>
      <c r="T320" s="132">
        <v>2900</v>
      </c>
    </row>
    <row r="321" spans="1:20" ht="12" hidden="1" customHeight="1" outlineLevel="1" x14ac:dyDescent="0.2">
      <c r="A321" s="44"/>
      <c r="B321" s="45"/>
      <c r="C321" s="11" t="s">
        <v>144</v>
      </c>
      <c r="D321" s="20"/>
      <c r="E321" s="47"/>
      <c r="F321" s="20"/>
      <c r="G321" s="6">
        <v>300</v>
      </c>
      <c r="H321" s="74"/>
      <c r="I321" s="4">
        <v>300</v>
      </c>
      <c r="J321" s="132">
        <v>390</v>
      </c>
      <c r="K321" s="14">
        <v>0</v>
      </c>
      <c r="L321" s="53"/>
      <c r="M321" s="547">
        <v>400</v>
      </c>
      <c r="N321" s="547">
        <v>420</v>
      </c>
      <c r="O321" s="547">
        <v>420</v>
      </c>
      <c r="P321" s="132">
        <v>420</v>
      </c>
      <c r="Q321" s="132">
        <v>400</v>
      </c>
      <c r="R321" s="132">
        <v>400</v>
      </c>
      <c r="S321" s="132">
        <v>400</v>
      </c>
      <c r="T321" s="132">
        <v>400</v>
      </c>
    </row>
    <row r="322" spans="1:20" ht="12" hidden="1" customHeight="1" outlineLevel="1" x14ac:dyDescent="0.2">
      <c r="A322" s="44"/>
      <c r="B322" s="45"/>
      <c r="C322" s="11" t="s">
        <v>38</v>
      </c>
      <c r="D322" s="20">
        <v>300</v>
      </c>
      <c r="E322" s="47"/>
      <c r="F322" s="20">
        <f>+D322</f>
        <v>300</v>
      </c>
      <c r="G322" s="6">
        <v>21</v>
      </c>
      <c r="H322" s="74">
        <f>+G322/D322</f>
        <v>7.0000000000000007E-2</v>
      </c>
      <c r="I322" s="4">
        <f t="shared" si="50"/>
        <v>300</v>
      </c>
      <c r="J322" s="132">
        <v>260</v>
      </c>
      <c r="K322" s="14">
        <f>130+550</f>
        <v>680</v>
      </c>
      <c r="L322" s="53"/>
      <c r="M322" s="547">
        <v>280</v>
      </c>
      <c r="N322" s="547">
        <v>310</v>
      </c>
      <c r="O322" s="547">
        <v>310</v>
      </c>
      <c r="P322" s="132">
        <v>310</v>
      </c>
      <c r="Q322" s="132">
        <v>280</v>
      </c>
      <c r="R322" s="132">
        <v>280</v>
      </c>
      <c r="S322" s="132">
        <v>280</v>
      </c>
      <c r="T322" s="132">
        <v>280</v>
      </c>
    </row>
    <row r="323" spans="1:20" ht="12" hidden="1" customHeight="1" outlineLevel="1" x14ac:dyDescent="0.2">
      <c r="A323" s="44"/>
      <c r="B323" s="10"/>
      <c r="C323" s="11" t="s">
        <v>140</v>
      </c>
      <c r="D323" s="20">
        <v>400</v>
      </c>
      <c r="E323" s="47"/>
      <c r="F323" s="20">
        <f>+D323</f>
        <v>400</v>
      </c>
      <c r="G323" s="6">
        <v>378</v>
      </c>
      <c r="H323" s="74">
        <f>+G323/D323</f>
        <v>0.94499999999999995</v>
      </c>
      <c r="I323" s="4">
        <f t="shared" si="50"/>
        <v>400</v>
      </c>
      <c r="J323" s="132">
        <v>170</v>
      </c>
      <c r="K323" s="14">
        <v>1604</v>
      </c>
      <c r="L323" s="53"/>
      <c r="M323" s="547">
        <v>180</v>
      </c>
      <c r="N323" s="547">
        <v>210</v>
      </c>
      <c r="O323" s="547">
        <v>210</v>
      </c>
      <c r="P323" s="132">
        <v>210</v>
      </c>
      <c r="Q323" s="132">
        <v>180</v>
      </c>
      <c r="R323" s="132">
        <v>180</v>
      </c>
      <c r="S323" s="132">
        <v>180</v>
      </c>
      <c r="T323" s="132">
        <v>180</v>
      </c>
    </row>
    <row r="324" spans="1:20" ht="12" hidden="1" customHeight="1" outlineLevel="1" x14ac:dyDescent="0.2">
      <c r="A324" s="44"/>
      <c r="B324" s="10"/>
      <c r="C324" s="11" t="s">
        <v>141</v>
      </c>
      <c r="D324" s="20">
        <v>700</v>
      </c>
      <c r="E324" s="47"/>
      <c r="F324" s="20">
        <f>+D324</f>
        <v>700</v>
      </c>
      <c r="G324" s="6">
        <v>445</v>
      </c>
      <c r="H324" s="74">
        <f>+G324/D324</f>
        <v>0.63571428571428568</v>
      </c>
      <c r="I324" s="4">
        <f t="shared" si="50"/>
        <v>700</v>
      </c>
      <c r="J324" s="132">
        <v>650</v>
      </c>
      <c r="K324" s="14">
        <f>229+90</f>
        <v>319</v>
      </c>
      <c r="L324" s="53"/>
      <c r="M324" s="547">
        <v>660</v>
      </c>
      <c r="N324" s="547">
        <v>670</v>
      </c>
      <c r="O324" s="547">
        <v>670</v>
      </c>
      <c r="P324" s="132">
        <v>670</v>
      </c>
      <c r="Q324" s="132">
        <v>660</v>
      </c>
      <c r="R324" s="132">
        <v>660</v>
      </c>
      <c r="S324" s="132">
        <v>660</v>
      </c>
      <c r="T324" s="132">
        <v>660</v>
      </c>
    </row>
    <row r="325" spans="1:20" ht="12" hidden="1" customHeight="1" outlineLevel="1" x14ac:dyDescent="0.2">
      <c r="A325" s="44"/>
      <c r="B325" s="10"/>
      <c r="C325" s="11" t="s">
        <v>39</v>
      </c>
      <c r="D325" s="87">
        <v>227</v>
      </c>
      <c r="E325" s="47"/>
      <c r="F325" s="20">
        <f>+D325</f>
        <v>227</v>
      </c>
      <c r="G325" s="6">
        <v>194</v>
      </c>
      <c r="H325" s="74">
        <f>+G325/D325</f>
        <v>0.85462555066079293</v>
      </c>
      <c r="I325" s="4">
        <f t="shared" si="50"/>
        <v>227</v>
      </c>
      <c r="J325" s="132">
        <v>250</v>
      </c>
      <c r="L325" s="53"/>
      <c r="M325" s="547">
        <v>260</v>
      </c>
      <c r="N325" s="547">
        <v>270</v>
      </c>
      <c r="O325" s="547">
        <v>270</v>
      </c>
      <c r="P325" s="132">
        <v>270</v>
      </c>
      <c r="Q325" s="132">
        <v>260</v>
      </c>
      <c r="R325" s="132">
        <v>260</v>
      </c>
      <c r="S325" s="132">
        <v>260</v>
      </c>
      <c r="T325" s="132">
        <v>260</v>
      </c>
    </row>
    <row r="326" spans="1:20" ht="12" hidden="1" customHeight="1" collapsed="1" x14ac:dyDescent="0.2">
      <c r="A326" s="44"/>
      <c r="B326" s="45"/>
      <c r="C326" s="11"/>
      <c r="D326" s="47"/>
      <c r="E326" s="47"/>
      <c r="F326" s="47"/>
      <c r="G326" s="47"/>
      <c r="H326" s="74"/>
      <c r="I326" s="6"/>
      <c r="J326" s="130"/>
      <c r="K326" s="14" t="s">
        <v>53</v>
      </c>
      <c r="L326" s="53"/>
      <c r="M326" s="548"/>
      <c r="N326" s="548"/>
      <c r="O326" s="548"/>
      <c r="P326" s="130"/>
      <c r="Q326" s="130"/>
      <c r="R326" s="130"/>
      <c r="S326" s="130"/>
      <c r="T326" s="130"/>
    </row>
    <row r="327" spans="1:20" ht="12" hidden="1" customHeight="1" x14ac:dyDescent="0.2">
      <c r="A327" s="232" t="s">
        <v>162</v>
      </c>
      <c r="B327" s="237"/>
      <c r="C327" s="238"/>
      <c r="D327" s="222">
        <f>SUM(D328:D329)</f>
        <v>14525</v>
      </c>
      <c r="E327" s="223">
        <f>SUM(E328:E329)</f>
        <v>0</v>
      </c>
      <c r="F327" s="222">
        <f>SUM(F328:F329)</f>
        <v>14525</v>
      </c>
      <c r="G327" s="222">
        <f>SUM(G328:G333)</f>
        <v>11115</v>
      </c>
      <c r="H327" s="223">
        <f>SUM(H328:H333)</f>
        <v>1.5509285397288728</v>
      </c>
      <c r="I327" s="225">
        <f>SUM(I328:I333)</f>
        <v>16463</v>
      </c>
      <c r="J327" s="235">
        <v>0</v>
      </c>
      <c r="K327" s="228"/>
      <c r="L327" s="229"/>
      <c r="M327" s="553">
        <f t="shared" ref="M327:T327" si="51">M328+M329+M330+M331+M332</f>
        <v>13200</v>
      </c>
      <c r="N327" s="553">
        <f t="shared" si="51"/>
        <v>14300</v>
      </c>
      <c r="O327" s="553">
        <f t="shared" si="51"/>
        <v>14300</v>
      </c>
      <c r="P327" s="235">
        <f t="shared" si="51"/>
        <v>14300</v>
      </c>
      <c r="Q327" s="235">
        <f t="shared" si="51"/>
        <v>13200</v>
      </c>
      <c r="R327" s="235">
        <f t="shared" si="51"/>
        <v>13200</v>
      </c>
      <c r="S327" s="235">
        <f t="shared" si="51"/>
        <v>13200</v>
      </c>
      <c r="T327" s="235">
        <f t="shared" si="51"/>
        <v>13200</v>
      </c>
    </row>
    <row r="328" spans="1:20" ht="12" hidden="1" customHeight="1" outlineLevel="1" x14ac:dyDescent="0.2">
      <c r="A328" s="44"/>
      <c r="B328" s="45"/>
      <c r="C328" s="11" t="s">
        <v>143</v>
      </c>
      <c r="D328" s="46">
        <v>2795</v>
      </c>
      <c r="E328" s="47"/>
      <c r="F328" s="46">
        <f>+D328</f>
        <v>2795</v>
      </c>
      <c r="G328" s="6">
        <f>3660-1173</f>
        <v>2487</v>
      </c>
      <c r="H328" s="74">
        <f>+G328/D328</f>
        <v>0.88980322003577816</v>
      </c>
      <c r="I328" s="6">
        <v>2760</v>
      </c>
      <c r="J328" s="133">
        <v>5600</v>
      </c>
      <c r="L328" s="53"/>
      <c r="M328" s="547">
        <v>5800</v>
      </c>
      <c r="N328" s="547">
        <v>6200</v>
      </c>
      <c r="O328" s="547">
        <v>6200</v>
      </c>
      <c r="P328" s="133">
        <v>6200</v>
      </c>
      <c r="Q328" s="133">
        <v>5800</v>
      </c>
      <c r="R328" s="133">
        <v>5800</v>
      </c>
      <c r="S328" s="133">
        <v>5800</v>
      </c>
      <c r="T328" s="133">
        <v>5800</v>
      </c>
    </row>
    <row r="329" spans="1:20" ht="12" hidden="1" customHeight="1" outlineLevel="1" x14ac:dyDescent="0.2">
      <c r="A329" s="44"/>
      <c r="B329" s="45"/>
      <c r="C329" s="11" t="s">
        <v>142</v>
      </c>
      <c r="D329" s="88">
        <v>11730</v>
      </c>
      <c r="E329" s="47"/>
      <c r="F329" s="89">
        <f>+D329</f>
        <v>11730</v>
      </c>
      <c r="G329" s="6">
        <v>7755</v>
      </c>
      <c r="H329" s="74">
        <f>+G329/D329</f>
        <v>0.66112531969309463</v>
      </c>
      <c r="I329" s="6">
        <v>11197</v>
      </c>
      <c r="J329" s="133">
        <v>5200</v>
      </c>
      <c r="L329" s="53"/>
      <c r="M329" s="547">
        <v>5300</v>
      </c>
      <c r="N329" s="547">
        <v>5600</v>
      </c>
      <c r="O329" s="547">
        <v>5600</v>
      </c>
      <c r="P329" s="133">
        <v>5600</v>
      </c>
      <c r="Q329" s="133">
        <v>5300</v>
      </c>
      <c r="R329" s="133">
        <v>5300</v>
      </c>
      <c r="S329" s="133">
        <v>5300</v>
      </c>
      <c r="T329" s="133">
        <v>5300</v>
      </c>
    </row>
    <row r="330" spans="1:20" ht="12" hidden="1" customHeight="1" outlineLevel="1" x14ac:dyDescent="0.2">
      <c r="A330" s="44"/>
      <c r="B330" s="45"/>
      <c r="C330" s="11" t="s">
        <v>145</v>
      </c>
      <c r="D330" s="88"/>
      <c r="E330" s="47"/>
      <c r="F330" s="89"/>
      <c r="G330" s="6"/>
      <c r="H330" s="74"/>
      <c r="I330" s="6">
        <v>370</v>
      </c>
      <c r="J330" s="133">
        <v>900</v>
      </c>
      <c r="L330" s="53"/>
      <c r="M330" s="547">
        <v>800</v>
      </c>
      <c r="N330" s="547">
        <v>900</v>
      </c>
      <c r="O330" s="547">
        <v>900</v>
      </c>
      <c r="P330" s="133">
        <v>900</v>
      </c>
      <c r="Q330" s="133">
        <v>800</v>
      </c>
      <c r="R330" s="133">
        <v>800</v>
      </c>
      <c r="S330" s="133">
        <v>800</v>
      </c>
      <c r="T330" s="133">
        <v>800</v>
      </c>
    </row>
    <row r="331" spans="1:20" ht="12" hidden="1" customHeight="1" outlineLevel="1" x14ac:dyDescent="0.2">
      <c r="A331" s="44"/>
      <c r="B331" s="45"/>
      <c r="C331" s="11" t="s">
        <v>69</v>
      </c>
      <c r="D331" s="88"/>
      <c r="E331" s="47"/>
      <c r="F331" s="89"/>
      <c r="G331" s="6"/>
      <c r="H331" s="74"/>
      <c r="I331" s="6">
        <v>286</v>
      </c>
      <c r="J331" s="133">
        <v>500</v>
      </c>
      <c r="L331" s="53"/>
      <c r="M331" s="547">
        <v>600</v>
      </c>
      <c r="N331" s="547">
        <v>800</v>
      </c>
      <c r="O331" s="547">
        <v>800</v>
      </c>
      <c r="P331" s="133">
        <v>800</v>
      </c>
      <c r="Q331" s="133">
        <v>600</v>
      </c>
      <c r="R331" s="133">
        <v>600</v>
      </c>
      <c r="S331" s="133">
        <v>600</v>
      </c>
      <c r="T331" s="133">
        <v>600</v>
      </c>
    </row>
    <row r="332" spans="1:20" ht="12" hidden="1" customHeight="1" outlineLevel="1" x14ac:dyDescent="0.2">
      <c r="A332" s="44"/>
      <c r="B332" s="45"/>
      <c r="C332" s="11" t="s">
        <v>144</v>
      </c>
      <c r="D332" s="88"/>
      <c r="E332" s="47"/>
      <c r="F332" s="89"/>
      <c r="G332" s="6">
        <f>1173-300</f>
        <v>873</v>
      </c>
      <c r="H332" s="74"/>
      <c r="I332" s="6">
        <v>1400</v>
      </c>
      <c r="J332" s="133">
        <v>650</v>
      </c>
      <c r="L332" s="53"/>
      <c r="M332" s="547">
        <v>700</v>
      </c>
      <c r="N332" s="547">
        <v>800</v>
      </c>
      <c r="O332" s="547">
        <v>800</v>
      </c>
      <c r="P332" s="133">
        <v>800</v>
      </c>
      <c r="Q332" s="133">
        <v>700</v>
      </c>
      <c r="R332" s="133">
        <v>700</v>
      </c>
      <c r="S332" s="133">
        <v>700</v>
      </c>
      <c r="T332" s="133">
        <v>700</v>
      </c>
    </row>
    <row r="333" spans="1:20" ht="12" hidden="1" customHeight="1" outlineLevel="1" x14ac:dyDescent="0.2">
      <c r="A333" s="44"/>
      <c r="B333" s="45"/>
      <c r="C333" s="11"/>
      <c r="D333" s="47"/>
      <c r="E333" s="47"/>
      <c r="F333" s="47"/>
      <c r="G333" s="6"/>
      <c r="H333" s="74"/>
      <c r="I333" s="6">
        <v>450</v>
      </c>
      <c r="J333" s="133"/>
      <c r="L333" s="53"/>
      <c r="M333" s="547"/>
      <c r="N333" s="547"/>
      <c r="O333" s="547"/>
      <c r="P333" s="133"/>
      <c r="Q333" s="133"/>
      <c r="R333" s="133"/>
      <c r="S333" s="133"/>
      <c r="T333" s="133"/>
    </row>
    <row r="334" spans="1:20" ht="12" hidden="1" customHeight="1" collapsed="1" x14ac:dyDescent="0.2">
      <c r="A334" s="232" t="s">
        <v>32</v>
      </c>
      <c r="B334" s="237"/>
      <c r="C334" s="238"/>
      <c r="D334" s="222">
        <f>+D336</f>
        <v>4000</v>
      </c>
      <c r="E334" s="223">
        <f>+E336</f>
        <v>0</v>
      </c>
      <c r="F334" s="222">
        <f>+F336</f>
        <v>4250</v>
      </c>
      <c r="G334" s="222">
        <f t="shared" ref="G334:I335" si="52">+G335</f>
        <v>2489</v>
      </c>
      <c r="H334" s="223">
        <f t="shared" si="52"/>
        <v>0.62224999999999997</v>
      </c>
      <c r="I334" s="225">
        <f t="shared" si="52"/>
        <v>4250</v>
      </c>
      <c r="J334" s="235">
        <v>0</v>
      </c>
      <c r="K334" s="228"/>
      <c r="L334" s="228"/>
      <c r="M334" s="553">
        <f t="shared" ref="M334:T335" si="53">M335</f>
        <v>12800</v>
      </c>
      <c r="N334" s="553">
        <f t="shared" si="53"/>
        <v>12900</v>
      </c>
      <c r="O334" s="553">
        <f t="shared" si="53"/>
        <v>12900</v>
      </c>
      <c r="P334" s="235">
        <f t="shared" si="53"/>
        <v>12900</v>
      </c>
      <c r="Q334" s="235">
        <f t="shared" si="53"/>
        <v>12800</v>
      </c>
      <c r="R334" s="235">
        <f t="shared" si="53"/>
        <v>12800</v>
      </c>
      <c r="S334" s="235">
        <f t="shared" si="53"/>
        <v>12800</v>
      </c>
      <c r="T334" s="235">
        <f t="shared" si="53"/>
        <v>12800</v>
      </c>
    </row>
    <row r="335" spans="1:20" ht="12" hidden="1" customHeight="1" x14ac:dyDescent="0.2">
      <c r="A335" s="78"/>
      <c r="B335" s="59">
        <v>641</v>
      </c>
      <c r="C335" s="50" t="s">
        <v>50</v>
      </c>
      <c r="D335" s="61"/>
      <c r="E335" s="69"/>
      <c r="F335" s="61"/>
      <c r="G335" s="61">
        <f t="shared" si="52"/>
        <v>2489</v>
      </c>
      <c r="H335" s="63">
        <f t="shared" si="52"/>
        <v>0.62224999999999997</v>
      </c>
      <c r="I335" s="64">
        <f t="shared" si="52"/>
        <v>4250</v>
      </c>
      <c r="J335" s="131">
        <v>0</v>
      </c>
      <c r="K335" s="14">
        <f>4130+15+85+433+30+280+427-350</f>
        <v>5050</v>
      </c>
      <c r="M335" s="548">
        <f t="shared" si="53"/>
        <v>12800</v>
      </c>
      <c r="N335" s="548">
        <f t="shared" si="53"/>
        <v>12900</v>
      </c>
      <c r="O335" s="548">
        <f t="shared" si="53"/>
        <v>12900</v>
      </c>
      <c r="P335" s="131">
        <f t="shared" si="53"/>
        <v>12900</v>
      </c>
      <c r="Q335" s="131">
        <f t="shared" si="53"/>
        <v>12800</v>
      </c>
      <c r="R335" s="131">
        <f t="shared" si="53"/>
        <v>12800</v>
      </c>
      <c r="S335" s="131">
        <f t="shared" si="53"/>
        <v>12800</v>
      </c>
      <c r="T335" s="131">
        <f t="shared" si="53"/>
        <v>12800</v>
      </c>
    </row>
    <row r="336" spans="1:20" ht="12" hidden="1" customHeight="1" outlineLevel="1" x14ac:dyDescent="0.2">
      <c r="A336" s="44"/>
      <c r="B336" s="10">
        <v>641001</v>
      </c>
      <c r="C336" s="11" t="s">
        <v>123</v>
      </c>
      <c r="D336" s="20">
        <v>4000</v>
      </c>
      <c r="E336" s="47"/>
      <c r="F336" s="20">
        <v>4250</v>
      </c>
      <c r="G336" s="6">
        <v>2489</v>
      </c>
      <c r="H336" s="74">
        <f>+G336/D336</f>
        <v>0.62224999999999997</v>
      </c>
      <c r="I336" s="4">
        <f>+F336</f>
        <v>4250</v>
      </c>
      <c r="J336" s="131">
        <v>0</v>
      </c>
      <c r="M336" s="548">
        <v>12800</v>
      </c>
      <c r="N336" s="548">
        <v>12900</v>
      </c>
      <c r="O336" s="548">
        <v>12900</v>
      </c>
      <c r="P336" s="131">
        <v>12900</v>
      </c>
      <c r="Q336" s="131">
        <v>12800</v>
      </c>
      <c r="R336" s="131">
        <v>12800</v>
      </c>
      <c r="S336" s="131">
        <v>12800</v>
      </c>
      <c r="T336" s="131">
        <v>12800</v>
      </c>
    </row>
    <row r="337" spans="1:20" ht="12" customHeight="1" outlineLevel="1" x14ac:dyDescent="0.2">
      <c r="A337" s="44"/>
      <c r="B337" s="45">
        <v>610</v>
      </c>
      <c r="C337" s="135" t="s">
        <v>250</v>
      </c>
      <c r="D337" s="58"/>
      <c r="E337" s="47"/>
      <c r="F337" s="58"/>
      <c r="G337" s="47"/>
      <c r="H337" s="74"/>
      <c r="I337" s="4"/>
      <c r="J337" s="131"/>
      <c r="M337" s="547">
        <v>69371.27</v>
      </c>
      <c r="N337" s="548"/>
      <c r="O337" s="547">
        <v>77614.16</v>
      </c>
      <c r="P337" s="449">
        <v>78000</v>
      </c>
      <c r="Q337" s="449">
        <v>76000</v>
      </c>
      <c r="R337" s="449">
        <v>79000</v>
      </c>
      <c r="S337" s="449">
        <v>79000</v>
      </c>
      <c r="T337" s="449">
        <v>76000</v>
      </c>
    </row>
    <row r="338" spans="1:20" ht="12" customHeight="1" outlineLevel="1" x14ac:dyDescent="0.2">
      <c r="A338" s="44"/>
      <c r="B338" s="45">
        <v>620</v>
      </c>
      <c r="C338" s="135" t="s">
        <v>251</v>
      </c>
      <c r="D338" s="58"/>
      <c r="E338" s="47"/>
      <c r="F338" s="58"/>
      <c r="G338" s="47"/>
      <c r="H338" s="74"/>
      <c r="I338" s="4"/>
      <c r="J338" s="131"/>
      <c r="M338" s="547">
        <v>24030.01</v>
      </c>
      <c r="N338" s="548"/>
      <c r="O338" s="547">
        <v>26645.23</v>
      </c>
      <c r="P338" s="449">
        <v>27261</v>
      </c>
      <c r="Q338" s="449">
        <v>26562</v>
      </c>
      <c r="R338" s="449">
        <v>27611</v>
      </c>
      <c r="S338" s="449">
        <v>27611</v>
      </c>
      <c r="T338" s="449">
        <v>26652</v>
      </c>
    </row>
    <row r="339" spans="1:20" ht="12" customHeight="1" outlineLevel="1" x14ac:dyDescent="0.2">
      <c r="A339" s="44"/>
      <c r="B339" s="45">
        <v>632</v>
      </c>
      <c r="C339" s="135" t="s">
        <v>247</v>
      </c>
      <c r="D339" s="58"/>
      <c r="E339" s="47"/>
      <c r="F339" s="58"/>
      <c r="G339" s="47"/>
      <c r="H339" s="74"/>
      <c r="I339" s="4"/>
      <c r="J339" s="131"/>
      <c r="M339" s="547">
        <v>8831.2199999999993</v>
      </c>
      <c r="N339" s="548"/>
      <c r="O339" s="547">
        <v>6518.3</v>
      </c>
      <c r="P339" s="449">
        <v>10000</v>
      </c>
      <c r="Q339" s="449">
        <v>7000</v>
      </c>
      <c r="R339" s="449">
        <v>8000</v>
      </c>
      <c r="S339" s="449">
        <v>10000</v>
      </c>
      <c r="T339" s="449">
        <v>10000</v>
      </c>
    </row>
    <row r="340" spans="1:20" ht="12" customHeight="1" outlineLevel="1" x14ac:dyDescent="0.2">
      <c r="A340" s="44"/>
      <c r="B340" s="45">
        <v>633</v>
      </c>
      <c r="C340" s="135" t="s">
        <v>98</v>
      </c>
      <c r="D340" s="58"/>
      <c r="E340" s="47"/>
      <c r="F340" s="58"/>
      <c r="G340" s="47"/>
      <c r="H340" s="74"/>
      <c r="I340" s="4"/>
      <c r="J340" s="131"/>
      <c r="M340" s="547">
        <v>3636</v>
      </c>
      <c r="N340" s="548"/>
      <c r="O340" s="547">
        <v>3456.85</v>
      </c>
      <c r="P340" s="449">
        <v>5000</v>
      </c>
      <c r="Q340" s="449">
        <v>4500</v>
      </c>
      <c r="R340" s="449">
        <v>5000</v>
      </c>
      <c r="S340" s="449">
        <v>4000</v>
      </c>
      <c r="T340" s="449">
        <v>4000</v>
      </c>
    </row>
    <row r="341" spans="1:20" ht="12" customHeight="1" outlineLevel="1" x14ac:dyDescent="0.2">
      <c r="A341" s="44"/>
      <c r="B341" s="137">
        <v>631</v>
      </c>
      <c r="C341" s="451" t="s">
        <v>228</v>
      </c>
      <c r="D341" s="58"/>
      <c r="E341" s="47"/>
      <c r="F341" s="58"/>
      <c r="G341" s="47"/>
      <c r="H341" s="74"/>
      <c r="I341" s="4"/>
      <c r="J341" s="131"/>
      <c r="M341" s="547">
        <v>91.24</v>
      </c>
      <c r="N341" s="548"/>
      <c r="O341" s="547">
        <v>27.65</v>
      </c>
      <c r="P341" s="449">
        <v>100</v>
      </c>
      <c r="Q341" s="449">
        <v>10</v>
      </c>
      <c r="R341" s="449">
        <v>100</v>
      </c>
      <c r="S341" s="449">
        <v>50</v>
      </c>
      <c r="T341" s="449">
        <v>50</v>
      </c>
    </row>
    <row r="342" spans="1:20" ht="12" customHeight="1" outlineLevel="1" x14ac:dyDescent="0.2">
      <c r="A342" s="44"/>
      <c r="B342" s="10">
        <v>635</v>
      </c>
      <c r="C342" s="11" t="s">
        <v>47</v>
      </c>
      <c r="D342" s="58"/>
      <c r="E342" s="47"/>
      <c r="F342" s="58"/>
      <c r="G342" s="47"/>
      <c r="H342" s="74"/>
      <c r="I342" s="4"/>
      <c r="J342" s="131"/>
      <c r="M342" s="547">
        <v>78</v>
      </c>
      <c r="N342" s="548"/>
      <c r="O342" s="547">
        <v>1811.87</v>
      </c>
      <c r="P342" s="449">
        <v>150</v>
      </c>
      <c r="Q342" s="449">
        <v>1000</v>
      </c>
      <c r="R342" s="449">
        <v>1000</v>
      </c>
      <c r="S342" s="449">
        <v>150</v>
      </c>
      <c r="T342" s="449">
        <v>150</v>
      </c>
    </row>
    <row r="343" spans="1:20" ht="12" customHeight="1" outlineLevel="1" x14ac:dyDescent="0.2">
      <c r="A343" s="44"/>
      <c r="B343" s="45">
        <v>637</v>
      </c>
      <c r="C343" s="11" t="s">
        <v>48</v>
      </c>
      <c r="D343" s="58"/>
      <c r="E343" s="47"/>
      <c r="F343" s="58"/>
      <c r="G343" s="47"/>
      <c r="H343" s="74"/>
      <c r="I343" s="4"/>
      <c r="J343" s="131"/>
      <c r="M343" s="547">
        <v>6136.82</v>
      </c>
      <c r="N343" s="548"/>
      <c r="O343" s="547">
        <v>12530.99</v>
      </c>
      <c r="P343" s="449">
        <v>2000</v>
      </c>
      <c r="Q343" s="449">
        <v>7000</v>
      </c>
      <c r="R343" s="449">
        <v>2500</v>
      </c>
      <c r="S343" s="449">
        <v>1200</v>
      </c>
      <c r="T343" s="449">
        <v>1200</v>
      </c>
    </row>
    <row r="344" spans="1:20" ht="12" customHeight="1" outlineLevel="1" x14ac:dyDescent="0.2">
      <c r="A344" s="44"/>
      <c r="B344" s="45">
        <v>642</v>
      </c>
      <c r="C344" s="11" t="s">
        <v>217</v>
      </c>
      <c r="D344" s="58"/>
      <c r="E344" s="47"/>
      <c r="F344" s="58"/>
      <c r="G344" s="47"/>
      <c r="H344" s="74"/>
      <c r="I344" s="4"/>
      <c r="J344" s="131"/>
      <c r="M344" s="547">
        <v>244.34</v>
      </c>
      <c r="N344" s="548"/>
      <c r="O344" s="559">
        <v>151.88</v>
      </c>
      <c r="P344" s="449">
        <v>150</v>
      </c>
      <c r="Q344" s="449">
        <v>2000</v>
      </c>
      <c r="R344" s="449">
        <v>200</v>
      </c>
      <c r="S344" s="449">
        <v>50</v>
      </c>
      <c r="T344" s="449">
        <v>50</v>
      </c>
    </row>
    <row r="345" spans="1:20" ht="12" hidden="1" customHeight="1" x14ac:dyDescent="0.2">
      <c r="A345" s="44"/>
      <c r="B345" s="45"/>
      <c r="C345" s="11"/>
      <c r="D345" s="47"/>
      <c r="E345" s="47"/>
      <c r="F345" s="47"/>
      <c r="G345" s="47"/>
      <c r="H345" s="74"/>
      <c r="I345" s="6"/>
      <c r="J345" s="130"/>
      <c r="M345" s="548"/>
      <c r="N345" s="548"/>
      <c r="O345" s="548"/>
      <c r="P345" s="130"/>
      <c r="Q345" s="130"/>
      <c r="R345" s="130"/>
      <c r="S345" s="130"/>
      <c r="T345" s="130"/>
    </row>
    <row r="346" spans="1:20" ht="12" customHeight="1" x14ac:dyDescent="0.2">
      <c r="A346" s="283" t="s">
        <v>258</v>
      </c>
      <c r="B346" s="274"/>
      <c r="C346" s="275"/>
      <c r="D346" s="222">
        <f>SUM(D386:D390)</f>
        <v>355</v>
      </c>
      <c r="E346" s="223">
        <f>SUM(E386:E389)</f>
        <v>0</v>
      </c>
      <c r="F346" s="222">
        <f>SUM(F386:F390)</f>
        <v>355</v>
      </c>
      <c r="G346" s="222" t="e">
        <f>+G347+G385</f>
        <v>#REF!</v>
      </c>
      <c r="H346" s="223" t="e">
        <f>+H347+H385</f>
        <v>#REF!</v>
      </c>
      <c r="I346" s="225" t="e">
        <f>+I347+I385</f>
        <v>#REF!</v>
      </c>
      <c r="J346" s="235">
        <f>J347</f>
        <v>60</v>
      </c>
      <c r="K346" s="228"/>
      <c r="L346" s="228"/>
      <c r="M346" s="553">
        <f>M347+M350+M351+M352+M353+M354+M355+M356+M357</f>
        <v>356050.63</v>
      </c>
      <c r="N346" s="553">
        <f>N347+N385</f>
        <v>60</v>
      </c>
      <c r="O346" s="553">
        <f>O347+O351+O352+O353+O354+O355+O356+O357+O350</f>
        <v>413850.9</v>
      </c>
      <c r="P346" s="235">
        <f>P347+P351+P352+P353+P354+P355+P356+P357+P350</f>
        <v>410286</v>
      </c>
      <c r="Q346" s="235">
        <f>Q347+Q350+Q351+Q352+Q353+Q354+Q355+Q356+Q357</f>
        <v>465462</v>
      </c>
      <c r="R346" s="235">
        <f>R347+R350+R351+R352+R353+R354+R355+R356+R357</f>
        <v>445057</v>
      </c>
      <c r="S346" s="235">
        <f>S347+S350+S351+S352+S353+S354+S355+S356+S357</f>
        <v>400486</v>
      </c>
      <c r="T346" s="235">
        <f>T347+R350+T351+T352+T353+R354+T355+T356+T357</f>
        <v>410491</v>
      </c>
    </row>
    <row r="347" spans="1:20" ht="12" customHeight="1" x14ac:dyDescent="0.2">
      <c r="A347" s="55"/>
      <c r="B347" s="45">
        <v>610</v>
      </c>
      <c r="C347" s="135" t="s">
        <v>250</v>
      </c>
      <c r="D347" s="61"/>
      <c r="E347" s="69"/>
      <c r="F347" s="61"/>
      <c r="G347" s="61">
        <f>+G348+G349</f>
        <v>2646</v>
      </c>
      <c r="H347" s="63">
        <f>+H348+H349</f>
        <v>1.7238878950506857</v>
      </c>
      <c r="I347" s="64">
        <f>+I348+I349</f>
        <v>3086</v>
      </c>
      <c r="J347" s="4">
        <v>60</v>
      </c>
      <c r="M347" s="549">
        <v>218043.57</v>
      </c>
      <c r="N347" s="549">
        <v>60</v>
      </c>
      <c r="O347" s="549">
        <v>256690.22</v>
      </c>
      <c r="P347" s="4">
        <v>256900</v>
      </c>
      <c r="Q347" s="4">
        <v>286152</v>
      </c>
      <c r="R347" s="4">
        <v>282666</v>
      </c>
      <c r="S347" s="4">
        <v>256900</v>
      </c>
      <c r="T347" s="4">
        <v>256900</v>
      </c>
    </row>
    <row r="348" spans="1:20" ht="12" hidden="1" customHeight="1" outlineLevel="1" x14ac:dyDescent="0.2">
      <c r="A348" s="55" t="s">
        <v>21</v>
      </c>
      <c r="B348" s="45">
        <v>620</v>
      </c>
      <c r="C348" s="135" t="s">
        <v>251</v>
      </c>
      <c r="D348" s="20">
        <v>2236</v>
      </c>
      <c r="E348" s="47"/>
      <c r="F348" s="20">
        <f>+D348</f>
        <v>2236</v>
      </c>
      <c r="G348" s="6">
        <v>2036</v>
      </c>
      <c r="H348" s="74">
        <f>+G348/D348</f>
        <v>0.91055456171735238</v>
      </c>
      <c r="I348" s="4">
        <f>+F348</f>
        <v>2236</v>
      </c>
      <c r="J348" s="4"/>
      <c r="M348" s="549">
        <v>12000</v>
      </c>
      <c r="N348" s="549">
        <v>14000</v>
      </c>
      <c r="O348" s="549"/>
      <c r="P348" s="4">
        <v>14000</v>
      </c>
      <c r="Q348" s="4">
        <v>12000</v>
      </c>
      <c r="R348" s="4">
        <v>12000</v>
      </c>
      <c r="S348" s="4">
        <v>12000</v>
      </c>
      <c r="T348" s="4">
        <v>12000</v>
      </c>
    </row>
    <row r="349" spans="1:20" ht="12" hidden="1" customHeight="1" outlineLevel="1" x14ac:dyDescent="0.2">
      <c r="A349" s="55" t="s">
        <v>21</v>
      </c>
      <c r="B349" s="45">
        <v>632</v>
      </c>
      <c r="C349" s="135" t="s">
        <v>247</v>
      </c>
      <c r="D349" s="20">
        <v>750</v>
      </c>
      <c r="E349" s="47"/>
      <c r="F349" s="20">
        <f>+D349</f>
        <v>750</v>
      </c>
      <c r="G349" s="6">
        <v>610</v>
      </c>
      <c r="H349" s="74">
        <f>+G349/D349</f>
        <v>0.81333333333333335</v>
      </c>
      <c r="I349" s="4">
        <v>850</v>
      </c>
      <c r="J349" s="4"/>
      <c r="M349" s="549">
        <v>6900</v>
      </c>
      <c r="N349" s="549">
        <v>9700</v>
      </c>
      <c r="O349" s="549"/>
      <c r="P349" s="4">
        <v>9700</v>
      </c>
      <c r="Q349" s="4">
        <v>6900</v>
      </c>
      <c r="R349" s="4">
        <v>6900</v>
      </c>
      <c r="S349" s="4">
        <v>6900</v>
      </c>
      <c r="T349" s="4">
        <v>6900</v>
      </c>
    </row>
    <row r="350" spans="1:20" ht="12" customHeight="1" outlineLevel="1" x14ac:dyDescent="0.2">
      <c r="A350" s="55"/>
      <c r="B350" s="45">
        <v>620</v>
      </c>
      <c r="C350" s="135" t="s">
        <v>251</v>
      </c>
      <c r="D350" s="20"/>
      <c r="E350" s="47"/>
      <c r="F350" s="20"/>
      <c r="G350" s="75"/>
      <c r="H350" s="74"/>
      <c r="I350" s="4"/>
      <c r="J350" s="4"/>
      <c r="M350" s="549">
        <v>76451.27</v>
      </c>
      <c r="N350" s="549"/>
      <c r="O350" s="549">
        <v>90496.27</v>
      </c>
      <c r="P350" s="4">
        <v>89786</v>
      </c>
      <c r="Q350" s="4">
        <v>100010</v>
      </c>
      <c r="R350" s="4">
        <v>98791</v>
      </c>
      <c r="S350" s="4">
        <v>89786</v>
      </c>
      <c r="T350" s="4">
        <v>89786</v>
      </c>
    </row>
    <row r="351" spans="1:20" ht="12" customHeight="1" outlineLevel="1" x14ac:dyDescent="0.2">
      <c r="A351" s="55"/>
      <c r="B351" s="137">
        <v>631</v>
      </c>
      <c r="C351" s="451" t="s">
        <v>228</v>
      </c>
      <c r="D351" s="20"/>
      <c r="E351" s="47"/>
      <c r="F351" s="20"/>
      <c r="G351" s="75"/>
      <c r="H351" s="74"/>
      <c r="I351" s="4"/>
      <c r="J351" s="4"/>
      <c r="M351" s="549">
        <v>587.91</v>
      </c>
      <c r="N351" s="549"/>
      <c r="O351" s="549">
        <v>664.93</v>
      </c>
      <c r="P351" s="4">
        <v>500</v>
      </c>
      <c r="Q351" s="4">
        <v>600</v>
      </c>
      <c r="R351" s="4">
        <v>500</v>
      </c>
      <c r="S351" s="4">
        <v>300</v>
      </c>
      <c r="T351" s="4">
        <v>300</v>
      </c>
    </row>
    <row r="352" spans="1:20" ht="12" customHeight="1" outlineLevel="1" x14ac:dyDescent="0.2">
      <c r="A352" s="55"/>
      <c r="B352" s="10">
        <v>632</v>
      </c>
      <c r="C352" s="11" t="s">
        <v>247</v>
      </c>
      <c r="D352" s="20"/>
      <c r="E352" s="47"/>
      <c r="F352" s="20"/>
      <c r="G352" s="75"/>
      <c r="H352" s="74"/>
      <c r="I352" s="4"/>
      <c r="J352" s="4"/>
      <c r="M352" s="549">
        <v>18064.02</v>
      </c>
      <c r="N352" s="549"/>
      <c r="O352" s="549">
        <v>15679.04</v>
      </c>
      <c r="P352" s="4">
        <v>19000</v>
      </c>
      <c r="Q352" s="4">
        <v>18000</v>
      </c>
      <c r="R352" s="4">
        <v>19000</v>
      </c>
      <c r="S352" s="4">
        <v>17000</v>
      </c>
      <c r="T352" s="4">
        <v>17000</v>
      </c>
    </row>
    <row r="353" spans="1:20" ht="12" customHeight="1" outlineLevel="1" x14ac:dyDescent="0.2">
      <c r="A353" s="55"/>
      <c r="B353" s="45">
        <v>633</v>
      </c>
      <c r="C353" s="11" t="s">
        <v>98</v>
      </c>
      <c r="D353" s="20"/>
      <c r="E353" s="47"/>
      <c r="F353" s="20"/>
      <c r="G353" s="75"/>
      <c r="H353" s="74"/>
      <c r="I353" s="4"/>
      <c r="J353" s="4"/>
      <c r="M353" s="549">
        <v>18937.37</v>
      </c>
      <c r="N353" s="549"/>
      <c r="O353" s="549">
        <v>12258.51</v>
      </c>
      <c r="P353" s="4">
        <v>16000</v>
      </c>
      <c r="Q353" s="4">
        <v>19000</v>
      </c>
      <c r="R353" s="4">
        <v>16000</v>
      </c>
      <c r="S353" s="4">
        <v>10000</v>
      </c>
      <c r="T353" s="4">
        <v>10000</v>
      </c>
    </row>
    <row r="354" spans="1:20" ht="12" customHeight="1" outlineLevel="1" x14ac:dyDescent="0.2">
      <c r="A354" s="55"/>
      <c r="B354" s="45">
        <v>634.63499999999999</v>
      </c>
      <c r="C354" s="11" t="s">
        <v>309</v>
      </c>
      <c r="D354" s="20"/>
      <c r="E354" s="47"/>
      <c r="F354" s="20"/>
      <c r="G354" s="75"/>
      <c r="H354" s="74"/>
      <c r="I354" s="4"/>
      <c r="J354" s="4"/>
      <c r="M354" s="549">
        <v>2617.56</v>
      </c>
      <c r="N354" s="549"/>
      <c r="O354" s="549">
        <v>7210.67</v>
      </c>
      <c r="P354" s="4">
        <v>4000</v>
      </c>
      <c r="Q354" s="4">
        <v>5900</v>
      </c>
      <c r="R354" s="4">
        <v>4000</v>
      </c>
      <c r="S354" s="4">
        <v>3000</v>
      </c>
      <c r="T354" s="4">
        <v>3000</v>
      </c>
    </row>
    <row r="355" spans="1:20" ht="12" customHeight="1" outlineLevel="1" x14ac:dyDescent="0.2">
      <c r="A355" s="55"/>
      <c r="B355" s="137">
        <v>637.63599999999997</v>
      </c>
      <c r="C355" s="47" t="s">
        <v>259</v>
      </c>
      <c r="D355" s="20"/>
      <c r="E355" s="47"/>
      <c r="F355" s="20"/>
      <c r="G355" s="75"/>
      <c r="H355" s="74"/>
      <c r="I355" s="4"/>
      <c r="J355" s="4"/>
      <c r="M355" s="549">
        <v>17546.5</v>
      </c>
      <c r="N355" s="549"/>
      <c r="O355" s="549">
        <v>22435.85</v>
      </c>
      <c r="P355" s="4">
        <v>17900</v>
      </c>
      <c r="Q355" s="4">
        <v>23000</v>
      </c>
      <c r="R355" s="4">
        <v>17900</v>
      </c>
      <c r="S355" s="4">
        <v>17000</v>
      </c>
      <c r="T355" s="4">
        <v>17000</v>
      </c>
    </row>
    <row r="356" spans="1:20" ht="12" customHeight="1" outlineLevel="1" x14ac:dyDescent="0.2">
      <c r="A356" s="55"/>
      <c r="B356" s="137">
        <v>642</v>
      </c>
      <c r="C356" s="47" t="s">
        <v>281</v>
      </c>
      <c r="D356" s="20"/>
      <c r="E356" s="47"/>
      <c r="F356" s="20"/>
      <c r="G356" s="75"/>
      <c r="H356" s="74"/>
      <c r="I356" s="4"/>
      <c r="J356" s="4"/>
      <c r="M356" s="549">
        <v>3302.43</v>
      </c>
      <c r="N356" s="549"/>
      <c r="O356" s="549">
        <v>6094.59</v>
      </c>
      <c r="P356" s="4">
        <v>4800</v>
      </c>
      <c r="Q356" s="4">
        <v>11200</v>
      </c>
      <c r="R356" s="4">
        <v>4800</v>
      </c>
      <c r="S356" s="4">
        <v>5100</v>
      </c>
      <c r="T356" s="4">
        <v>5100</v>
      </c>
    </row>
    <row r="357" spans="1:20" ht="12" customHeight="1" outlineLevel="1" x14ac:dyDescent="0.2">
      <c r="A357" s="55"/>
      <c r="B357" s="137" t="s">
        <v>306</v>
      </c>
      <c r="C357" s="47" t="s">
        <v>260</v>
      </c>
      <c r="D357" s="20"/>
      <c r="E357" s="47"/>
      <c r="F357" s="20"/>
      <c r="G357" s="75"/>
      <c r="H357" s="74"/>
      <c r="I357" s="4"/>
      <c r="J357" s="4"/>
      <c r="M357" s="549">
        <v>500</v>
      </c>
      <c r="N357" s="549"/>
      <c r="O357" s="549">
        <v>2320.8200000000002</v>
      </c>
      <c r="P357" s="4">
        <v>1400</v>
      </c>
      <c r="Q357" s="4">
        <v>1600</v>
      </c>
      <c r="R357" s="4">
        <v>1400</v>
      </c>
      <c r="S357" s="4">
        <v>1400</v>
      </c>
      <c r="T357" s="4">
        <v>1400</v>
      </c>
    </row>
    <row r="358" spans="1:20" ht="12" customHeight="1" outlineLevel="1" x14ac:dyDescent="0.2">
      <c r="A358" s="421" t="s">
        <v>261</v>
      </c>
      <c r="B358" s="436" t="s">
        <v>262</v>
      </c>
      <c r="C358" s="433"/>
      <c r="D358" s="469"/>
      <c r="E358" s="433"/>
      <c r="F358" s="469"/>
      <c r="G358" s="470"/>
      <c r="H358" s="471"/>
      <c r="I358" s="428"/>
      <c r="J358" s="428"/>
      <c r="K358" s="472"/>
      <c r="L358" s="472"/>
      <c r="M358" s="550">
        <f>M359+M360+M361+M362+M363+M364+M365</f>
        <v>26314.440000000002</v>
      </c>
      <c r="N358" s="550"/>
      <c r="O358" s="550">
        <f t="shared" ref="O358:T358" si="54">O359+O360+O361+O362+O363+O364+O365</f>
        <v>28525.489999999998</v>
      </c>
      <c r="P358" s="428">
        <f t="shared" si="54"/>
        <v>31384</v>
      </c>
      <c r="Q358" s="428">
        <f t="shared" si="54"/>
        <v>30267</v>
      </c>
      <c r="R358" s="428">
        <f t="shared" si="54"/>
        <v>31384</v>
      </c>
      <c r="S358" s="428">
        <f t="shared" si="54"/>
        <v>31334</v>
      </c>
      <c r="T358" s="428">
        <f t="shared" si="54"/>
        <v>31234</v>
      </c>
    </row>
    <row r="359" spans="1:20" ht="12" customHeight="1" outlineLevel="1" x14ac:dyDescent="0.2">
      <c r="A359" s="55"/>
      <c r="B359" s="45">
        <v>610</v>
      </c>
      <c r="C359" s="135" t="s">
        <v>250</v>
      </c>
      <c r="D359" s="20"/>
      <c r="E359" s="47"/>
      <c r="F359" s="20"/>
      <c r="G359" s="75"/>
      <c r="H359" s="74"/>
      <c r="I359" s="4"/>
      <c r="J359" s="4"/>
      <c r="M359" s="549">
        <v>18621.86</v>
      </c>
      <c r="N359" s="549"/>
      <c r="O359" s="549">
        <v>19414.349999999999</v>
      </c>
      <c r="P359" s="4">
        <v>21700</v>
      </c>
      <c r="Q359" s="4">
        <v>19760</v>
      </c>
      <c r="R359" s="4">
        <v>21700</v>
      </c>
      <c r="S359" s="4">
        <v>21700</v>
      </c>
      <c r="T359" s="4">
        <v>21700</v>
      </c>
    </row>
    <row r="360" spans="1:20" ht="12" customHeight="1" outlineLevel="1" x14ac:dyDescent="0.2">
      <c r="A360" s="55"/>
      <c r="B360" s="45">
        <v>620</v>
      </c>
      <c r="C360" s="135" t="s">
        <v>251</v>
      </c>
      <c r="D360" s="20"/>
      <c r="E360" s="47"/>
      <c r="F360" s="20"/>
      <c r="G360" s="75"/>
      <c r="H360" s="74"/>
      <c r="I360" s="4"/>
      <c r="J360" s="4"/>
      <c r="M360" s="549">
        <v>6397.45</v>
      </c>
      <c r="N360" s="549"/>
      <c r="O360" s="549">
        <v>6625.71</v>
      </c>
      <c r="P360" s="4">
        <v>7584</v>
      </c>
      <c r="Q360" s="4">
        <v>6907</v>
      </c>
      <c r="R360" s="4">
        <v>7584</v>
      </c>
      <c r="S360" s="4">
        <v>7584</v>
      </c>
      <c r="T360" s="4">
        <v>7584</v>
      </c>
    </row>
    <row r="361" spans="1:20" ht="12" customHeight="1" outlineLevel="1" x14ac:dyDescent="0.2">
      <c r="A361" s="55"/>
      <c r="B361" s="45">
        <v>632</v>
      </c>
      <c r="C361" s="135" t="s">
        <v>247</v>
      </c>
      <c r="D361" s="20"/>
      <c r="E361" s="47"/>
      <c r="F361" s="20"/>
      <c r="G361" s="75"/>
      <c r="H361" s="74"/>
      <c r="I361" s="4"/>
      <c r="J361" s="4"/>
      <c r="M361" s="549">
        <v>588</v>
      </c>
      <c r="N361" s="549"/>
      <c r="O361" s="549">
        <v>607.41</v>
      </c>
      <c r="P361" s="4">
        <v>800</v>
      </c>
      <c r="Q361" s="4">
        <v>800</v>
      </c>
      <c r="R361" s="4">
        <v>800</v>
      </c>
      <c r="S361" s="4">
        <v>800</v>
      </c>
      <c r="T361" s="4">
        <v>800</v>
      </c>
    </row>
    <row r="362" spans="1:20" ht="12" customHeight="1" outlineLevel="1" x14ac:dyDescent="0.2">
      <c r="A362" s="55"/>
      <c r="B362" s="45">
        <v>633</v>
      </c>
      <c r="C362" s="135" t="s">
        <v>98</v>
      </c>
      <c r="D362" s="20"/>
      <c r="E362" s="47"/>
      <c r="F362" s="20"/>
      <c r="G362" s="75"/>
      <c r="H362" s="74"/>
      <c r="I362" s="4"/>
      <c r="J362" s="4"/>
      <c r="M362" s="549">
        <v>24</v>
      </c>
      <c r="N362" s="549"/>
      <c r="O362" s="549">
        <v>757.45</v>
      </c>
      <c r="P362" s="4">
        <v>400</v>
      </c>
      <c r="Q362" s="4">
        <v>600</v>
      </c>
      <c r="R362" s="4">
        <v>400</v>
      </c>
      <c r="S362" s="4">
        <v>350</v>
      </c>
      <c r="T362" s="4">
        <v>350</v>
      </c>
    </row>
    <row r="363" spans="1:20" ht="12" customHeight="1" outlineLevel="1" x14ac:dyDescent="0.2">
      <c r="A363" s="55"/>
      <c r="B363" s="137">
        <v>635</v>
      </c>
      <c r="C363" s="451" t="s">
        <v>47</v>
      </c>
      <c r="D363" s="20"/>
      <c r="E363" s="47"/>
      <c r="F363" s="20"/>
      <c r="G363" s="75"/>
      <c r="H363" s="74"/>
      <c r="I363" s="4"/>
      <c r="J363" s="4"/>
      <c r="M363" s="549">
        <v>0</v>
      </c>
      <c r="N363" s="549"/>
      <c r="O363" s="549">
        <v>0</v>
      </c>
      <c r="P363" s="4">
        <v>100</v>
      </c>
      <c r="Q363" s="4">
        <v>600</v>
      </c>
      <c r="R363" s="4">
        <v>100</v>
      </c>
      <c r="S363" s="4">
        <v>100</v>
      </c>
      <c r="T363" s="4">
        <v>100</v>
      </c>
    </row>
    <row r="364" spans="1:20" ht="12" customHeight="1" outlineLevel="1" x14ac:dyDescent="0.2">
      <c r="A364" s="55"/>
      <c r="B364" s="10">
        <v>637</v>
      </c>
      <c r="C364" s="11" t="s">
        <v>263</v>
      </c>
      <c r="D364" s="20"/>
      <c r="E364" s="47"/>
      <c r="F364" s="20"/>
      <c r="G364" s="75"/>
      <c r="H364" s="74"/>
      <c r="I364" s="4"/>
      <c r="J364" s="4"/>
      <c r="M364" s="549">
        <v>589.47</v>
      </c>
      <c r="N364" s="549"/>
      <c r="O364" s="549">
        <v>979.19</v>
      </c>
      <c r="P364" s="4">
        <v>700</v>
      </c>
      <c r="Q364" s="4">
        <v>1200</v>
      </c>
      <c r="R364" s="4">
        <v>700</v>
      </c>
      <c r="S364" s="4">
        <v>700</v>
      </c>
      <c r="T364" s="4">
        <v>600</v>
      </c>
    </row>
    <row r="365" spans="1:20" ht="12" customHeight="1" outlineLevel="1" x14ac:dyDescent="0.2">
      <c r="A365" s="55"/>
      <c r="B365" s="45">
        <v>642</v>
      </c>
      <c r="C365" s="11" t="s">
        <v>217</v>
      </c>
      <c r="D365" s="20"/>
      <c r="E365" s="47"/>
      <c r="F365" s="20"/>
      <c r="G365" s="75"/>
      <c r="H365" s="74"/>
      <c r="I365" s="4"/>
      <c r="J365" s="4"/>
      <c r="M365" s="549">
        <v>93.66</v>
      </c>
      <c r="N365" s="549"/>
      <c r="O365" s="549">
        <v>141.38</v>
      </c>
      <c r="P365" s="4">
        <v>100</v>
      </c>
      <c r="Q365" s="4">
        <v>400</v>
      </c>
      <c r="R365" s="4">
        <v>100</v>
      </c>
      <c r="S365" s="4">
        <v>100</v>
      </c>
      <c r="T365" s="4">
        <v>100</v>
      </c>
    </row>
    <row r="366" spans="1:20" ht="12" customHeight="1" outlineLevel="1" x14ac:dyDescent="0.2">
      <c r="A366" s="421" t="s">
        <v>264</v>
      </c>
      <c r="B366" s="436" t="s">
        <v>265</v>
      </c>
      <c r="C366" s="423"/>
      <c r="D366" s="469"/>
      <c r="E366" s="433"/>
      <c r="F366" s="469"/>
      <c r="G366" s="470"/>
      <c r="H366" s="471"/>
      <c r="I366" s="428"/>
      <c r="J366" s="428"/>
      <c r="K366" s="472"/>
      <c r="L366" s="472"/>
      <c r="M366" s="550">
        <f>M367+M368+M369+M370+M371+M372+M373</f>
        <v>44275.700000000004</v>
      </c>
      <c r="N366" s="550"/>
      <c r="O366" s="550">
        <f t="shared" ref="O366:T366" si="55">O367+O368+O369+O370+O371+O372+O373</f>
        <v>50527.350000000006</v>
      </c>
      <c r="P366" s="428">
        <f t="shared" si="55"/>
        <v>44854</v>
      </c>
      <c r="Q366" s="428">
        <f t="shared" si="55"/>
        <v>42964</v>
      </c>
      <c r="R366" s="428">
        <f t="shared" si="55"/>
        <v>44854</v>
      </c>
      <c r="S366" s="428">
        <f t="shared" si="55"/>
        <v>44854</v>
      </c>
      <c r="T366" s="428">
        <f t="shared" si="55"/>
        <v>44854</v>
      </c>
    </row>
    <row r="367" spans="1:20" ht="12" customHeight="1" outlineLevel="1" x14ac:dyDescent="0.2">
      <c r="A367" s="55"/>
      <c r="B367" s="45">
        <v>610</v>
      </c>
      <c r="C367" s="135" t="s">
        <v>250</v>
      </c>
      <c r="D367" s="20"/>
      <c r="E367" s="47"/>
      <c r="F367" s="20"/>
      <c r="G367" s="75"/>
      <c r="H367" s="74"/>
      <c r="I367" s="4"/>
      <c r="J367" s="4"/>
      <c r="M367" s="549">
        <v>21144.15</v>
      </c>
      <c r="N367" s="549"/>
      <c r="O367" s="549">
        <v>23091.86</v>
      </c>
      <c r="P367" s="4">
        <v>23500</v>
      </c>
      <c r="Q367" s="4">
        <v>23500</v>
      </c>
      <c r="R367" s="4">
        <v>23500</v>
      </c>
      <c r="S367" s="4">
        <v>23500</v>
      </c>
      <c r="T367" s="4">
        <v>23500</v>
      </c>
    </row>
    <row r="368" spans="1:20" ht="12" customHeight="1" outlineLevel="1" x14ac:dyDescent="0.2">
      <c r="A368" s="55"/>
      <c r="B368" s="45">
        <v>620</v>
      </c>
      <c r="C368" s="135" t="s">
        <v>251</v>
      </c>
      <c r="D368" s="20"/>
      <c r="E368" s="47"/>
      <c r="F368" s="20"/>
      <c r="G368" s="75"/>
      <c r="H368" s="74"/>
      <c r="I368" s="4"/>
      <c r="J368" s="4"/>
      <c r="M368" s="549">
        <v>7618.68</v>
      </c>
      <c r="N368" s="549"/>
      <c r="O368" s="549">
        <v>7809.59</v>
      </c>
      <c r="P368" s="4">
        <v>8214</v>
      </c>
      <c r="Q368" s="4">
        <v>8214</v>
      </c>
      <c r="R368" s="4">
        <v>8214</v>
      </c>
      <c r="S368" s="4">
        <v>8214</v>
      </c>
      <c r="T368" s="4">
        <v>8214</v>
      </c>
    </row>
    <row r="369" spans="1:20" ht="12" customHeight="1" outlineLevel="1" x14ac:dyDescent="0.2">
      <c r="A369" s="55"/>
      <c r="B369" s="10" t="s">
        <v>283</v>
      </c>
      <c r="C369" s="135" t="s">
        <v>282</v>
      </c>
      <c r="D369" s="20"/>
      <c r="E369" s="47"/>
      <c r="F369" s="20"/>
      <c r="G369" s="75"/>
      <c r="H369" s="74"/>
      <c r="I369" s="4"/>
      <c r="J369" s="4"/>
      <c r="M369" s="549">
        <v>52.6</v>
      </c>
      <c r="N369" s="549"/>
      <c r="O369" s="549">
        <v>47</v>
      </c>
      <c r="P369" s="4">
        <v>40</v>
      </c>
      <c r="Q369" s="4">
        <v>50</v>
      </c>
      <c r="R369" s="4">
        <v>40</v>
      </c>
      <c r="S369" s="4">
        <v>40</v>
      </c>
      <c r="T369" s="4">
        <v>40</v>
      </c>
    </row>
    <row r="370" spans="1:20" ht="12" customHeight="1" outlineLevel="1" x14ac:dyDescent="0.2">
      <c r="A370" s="55"/>
      <c r="B370" s="45">
        <v>633</v>
      </c>
      <c r="C370" s="135" t="s">
        <v>319</v>
      </c>
      <c r="D370" s="20"/>
      <c r="E370" s="47"/>
      <c r="F370" s="20"/>
      <c r="G370" s="75"/>
      <c r="H370" s="74"/>
      <c r="I370" s="4"/>
      <c r="J370" s="4"/>
      <c r="M370" s="549">
        <v>11073.28</v>
      </c>
      <c r="N370" s="549"/>
      <c r="O370" s="549">
        <v>12955.96</v>
      </c>
      <c r="P370" s="4">
        <v>12000</v>
      </c>
      <c r="Q370" s="4">
        <v>7000</v>
      </c>
      <c r="R370" s="4">
        <v>12000</v>
      </c>
      <c r="S370" s="4">
        <v>12000</v>
      </c>
      <c r="T370" s="4">
        <v>12000</v>
      </c>
    </row>
    <row r="371" spans="1:20" ht="12" customHeight="1" outlineLevel="1" x14ac:dyDescent="0.2">
      <c r="A371" s="55"/>
      <c r="B371" s="137">
        <v>635</v>
      </c>
      <c r="C371" s="451" t="s">
        <v>47</v>
      </c>
      <c r="D371" s="20"/>
      <c r="E371" s="47"/>
      <c r="F371" s="20"/>
      <c r="G371" s="75"/>
      <c r="H371" s="74"/>
      <c r="I371" s="4"/>
      <c r="J371" s="4"/>
      <c r="M371" s="549">
        <v>389.22</v>
      </c>
      <c r="N371" s="549"/>
      <c r="O371" s="549">
        <v>231.3</v>
      </c>
      <c r="P371" s="4">
        <v>100</v>
      </c>
      <c r="Q371" s="4">
        <v>150</v>
      </c>
      <c r="R371" s="4">
        <v>100</v>
      </c>
      <c r="S371" s="4">
        <v>100</v>
      </c>
      <c r="T371" s="4">
        <v>100</v>
      </c>
    </row>
    <row r="372" spans="1:20" ht="12" customHeight="1" outlineLevel="1" x14ac:dyDescent="0.2">
      <c r="A372" s="55"/>
      <c r="B372" s="10">
        <v>637</v>
      </c>
      <c r="C372" s="11" t="s">
        <v>263</v>
      </c>
      <c r="D372" s="20"/>
      <c r="E372" s="47"/>
      <c r="F372" s="20"/>
      <c r="G372" s="75"/>
      <c r="H372" s="74"/>
      <c r="I372" s="4"/>
      <c r="J372" s="4"/>
      <c r="M372" s="549">
        <v>3950.94</v>
      </c>
      <c r="N372" s="549"/>
      <c r="O372" s="549">
        <v>6249.21</v>
      </c>
      <c r="P372" s="4">
        <v>900</v>
      </c>
      <c r="Q372" s="4">
        <v>4000</v>
      </c>
      <c r="R372" s="4">
        <v>900</v>
      </c>
      <c r="S372" s="4">
        <v>900</v>
      </c>
      <c r="T372" s="4">
        <v>900</v>
      </c>
    </row>
    <row r="373" spans="1:20" ht="12" customHeight="1" outlineLevel="1" x14ac:dyDescent="0.2">
      <c r="A373" s="55"/>
      <c r="B373" s="45">
        <v>642</v>
      </c>
      <c r="C373" s="11" t="s">
        <v>217</v>
      </c>
      <c r="D373" s="20"/>
      <c r="E373" s="47"/>
      <c r="F373" s="20"/>
      <c r="G373" s="75"/>
      <c r="H373" s="74"/>
      <c r="I373" s="4"/>
      <c r="J373" s="4"/>
      <c r="M373" s="549">
        <v>46.83</v>
      </c>
      <c r="N373" s="549"/>
      <c r="O373" s="549">
        <v>142.43</v>
      </c>
      <c r="P373" s="4">
        <v>100</v>
      </c>
      <c r="Q373" s="4">
        <v>50</v>
      </c>
      <c r="R373" s="4">
        <v>100</v>
      </c>
      <c r="S373" s="4">
        <v>100</v>
      </c>
      <c r="T373" s="4">
        <v>100</v>
      </c>
    </row>
    <row r="374" spans="1:20" ht="12" customHeight="1" outlineLevel="1" x14ac:dyDescent="0.2">
      <c r="A374" s="421" t="s">
        <v>266</v>
      </c>
      <c r="B374" s="436"/>
      <c r="C374" s="433"/>
      <c r="D374" s="469"/>
      <c r="E374" s="433"/>
      <c r="F374" s="469"/>
      <c r="G374" s="470"/>
      <c r="H374" s="471"/>
      <c r="I374" s="428"/>
      <c r="J374" s="428"/>
      <c r="K374" s="472"/>
      <c r="L374" s="472"/>
      <c r="M374" s="550">
        <f>M375+M376+M377+M378+M379+M380+M381</f>
        <v>65990.84</v>
      </c>
      <c r="N374" s="550"/>
      <c r="O374" s="550">
        <f t="shared" ref="O374:T374" si="56">O375+O376+O377+O378+O379+O380+O381</f>
        <v>82706.039999999994</v>
      </c>
      <c r="P374" s="428">
        <f t="shared" si="56"/>
        <v>77911</v>
      </c>
      <c r="Q374" s="428">
        <f t="shared" si="56"/>
        <v>77302</v>
      </c>
      <c r="R374" s="428">
        <f t="shared" si="56"/>
        <v>80610</v>
      </c>
      <c r="S374" s="428">
        <f t="shared" si="56"/>
        <v>78111</v>
      </c>
      <c r="T374" s="428">
        <f t="shared" si="56"/>
        <v>51111</v>
      </c>
    </row>
    <row r="375" spans="1:20" ht="12" customHeight="1" outlineLevel="1" x14ac:dyDescent="0.2">
      <c r="A375" s="55"/>
      <c r="B375" s="45">
        <v>610</v>
      </c>
      <c r="C375" s="135" t="s">
        <v>250</v>
      </c>
      <c r="D375" s="20"/>
      <c r="E375" s="47"/>
      <c r="F375" s="20"/>
      <c r="G375" s="75"/>
      <c r="H375" s="74"/>
      <c r="I375" s="4"/>
      <c r="J375" s="4"/>
      <c r="M375" s="549">
        <v>22403.39</v>
      </c>
      <c r="N375" s="549"/>
      <c r="O375" s="549">
        <v>29240.73</v>
      </c>
      <c r="P375" s="4">
        <v>27500</v>
      </c>
      <c r="Q375" s="4">
        <v>26780</v>
      </c>
      <c r="R375" s="4">
        <v>29500</v>
      </c>
      <c r="S375" s="4">
        <v>27500</v>
      </c>
      <c r="T375" s="4">
        <v>27500</v>
      </c>
    </row>
    <row r="376" spans="1:20" ht="12" customHeight="1" outlineLevel="1" x14ac:dyDescent="0.2">
      <c r="A376" s="55"/>
      <c r="B376" s="45">
        <v>620</v>
      </c>
      <c r="C376" s="135" t="s">
        <v>251</v>
      </c>
      <c r="D376" s="20"/>
      <c r="E376" s="47"/>
      <c r="F376" s="20"/>
      <c r="G376" s="75"/>
      <c r="H376" s="74"/>
      <c r="I376" s="4"/>
      <c r="J376" s="4"/>
      <c r="M376" s="549">
        <v>8094.64</v>
      </c>
      <c r="N376" s="549"/>
      <c r="O376" s="549">
        <v>10521.72</v>
      </c>
      <c r="P376" s="4">
        <v>9611</v>
      </c>
      <c r="Q376" s="4">
        <v>9360</v>
      </c>
      <c r="R376" s="4">
        <v>10310</v>
      </c>
      <c r="S376" s="4">
        <v>9611</v>
      </c>
      <c r="T376" s="4">
        <v>9611</v>
      </c>
    </row>
    <row r="377" spans="1:20" ht="12" customHeight="1" outlineLevel="1" x14ac:dyDescent="0.2">
      <c r="A377" s="55"/>
      <c r="B377" s="45">
        <v>632</v>
      </c>
      <c r="C377" s="135" t="s">
        <v>282</v>
      </c>
      <c r="D377" s="20"/>
      <c r="E377" s="47"/>
      <c r="F377" s="20"/>
      <c r="G377" s="75"/>
      <c r="H377" s="74"/>
      <c r="I377" s="4"/>
      <c r="J377" s="4"/>
      <c r="M377" s="549">
        <v>5900.01</v>
      </c>
      <c r="N377" s="549"/>
      <c r="O377" s="549">
        <v>8729.1299999999992</v>
      </c>
      <c r="P377" s="4">
        <v>8000</v>
      </c>
      <c r="Q377" s="4">
        <v>8000</v>
      </c>
      <c r="R377" s="4">
        <v>8000</v>
      </c>
      <c r="S377" s="4">
        <v>8200</v>
      </c>
      <c r="T377" s="4">
        <v>8200</v>
      </c>
    </row>
    <row r="378" spans="1:20" ht="12" customHeight="1" outlineLevel="1" x14ac:dyDescent="0.2">
      <c r="A378" s="55"/>
      <c r="B378" s="45">
        <v>633</v>
      </c>
      <c r="C378" s="135" t="s">
        <v>319</v>
      </c>
      <c r="D378" s="20"/>
      <c r="E378" s="47"/>
      <c r="F378" s="20"/>
      <c r="G378" s="75"/>
      <c r="H378" s="74"/>
      <c r="I378" s="4"/>
      <c r="J378" s="4"/>
      <c r="M378" s="549">
        <v>25868.38</v>
      </c>
      <c r="N378" s="549"/>
      <c r="O378" s="549">
        <v>29796.73</v>
      </c>
      <c r="P378" s="4">
        <v>30000</v>
      </c>
      <c r="Q378" s="4">
        <v>28000</v>
      </c>
      <c r="R378" s="4">
        <v>30000</v>
      </c>
      <c r="S378" s="4">
        <v>30000</v>
      </c>
      <c r="T378" s="4">
        <v>3000</v>
      </c>
    </row>
    <row r="379" spans="1:20" ht="12" customHeight="1" outlineLevel="1" x14ac:dyDescent="0.2">
      <c r="A379" s="55"/>
      <c r="B379" s="137">
        <v>635</v>
      </c>
      <c r="C379" s="451" t="s">
        <v>47</v>
      </c>
      <c r="D379" s="20"/>
      <c r="E379" s="47"/>
      <c r="F379" s="20"/>
      <c r="G379" s="75"/>
      <c r="H379" s="74"/>
      <c r="I379" s="4"/>
      <c r="J379" s="4"/>
      <c r="M379" s="549">
        <v>0</v>
      </c>
      <c r="N379" s="549"/>
      <c r="O379" s="549">
        <v>64.8</v>
      </c>
      <c r="P379" s="4">
        <v>200</v>
      </c>
      <c r="Q379" s="4">
        <v>600</v>
      </c>
      <c r="R379" s="4">
        <v>200</v>
      </c>
      <c r="S379" s="4">
        <v>200</v>
      </c>
      <c r="T379" s="4">
        <v>200</v>
      </c>
    </row>
    <row r="380" spans="1:20" ht="12" customHeight="1" outlineLevel="1" x14ac:dyDescent="0.2">
      <c r="A380" s="55"/>
      <c r="B380" s="10">
        <v>637</v>
      </c>
      <c r="C380" s="11" t="s">
        <v>263</v>
      </c>
      <c r="D380" s="20"/>
      <c r="E380" s="47"/>
      <c r="F380" s="20"/>
      <c r="G380" s="75"/>
      <c r="H380" s="74"/>
      <c r="I380" s="4"/>
      <c r="J380" s="4"/>
      <c r="M380" s="549">
        <v>3548.81</v>
      </c>
      <c r="N380" s="549"/>
      <c r="O380" s="549">
        <v>4264.12</v>
      </c>
      <c r="P380" s="4">
        <v>2500</v>
      </c>
      <c r="Q380" s="4">
        <v>4080</v>
      </c>
      <c r="R380" s="4">
        <v>2500</v>
      </c>
      <c r="S380" s="4">
        <v>2500</v>
      </c>
      <c r="T380" s="4">
        <v>2500</v>
      </c>
    </row>
    <row r="381" spans="1:20" ht="12" customHeight="1" outlineLevel="1" x14ac:dyDescent="0.2">
      <c r="A381" s="55"/>
      <c r="B381" s="45">
        <v>642</v>
      </c>
      <c r="C381" s="11" t="s">
        <v>313</v>
      </c>
      <c r="D381" s="20"/>
      <c r="E381" s="47"/>
      <c r="F381" s="20"/>
      <c r="G381" s="75"/>
      <c r="H381" s="74"/>
      <c r="I381" s="4"/>
      <c r="J381" s="4"/>
      <c r="M381" s="549">
        <v>175.61</v>
      </c>
      <c r="N381" s="549"/>
      <c r="O381" s="549">
        <v>88.81</v>
      </c>
      <c r="P381" s="4">
        <v>100</v>
      </c>
      <c r="Q381" s="4">
        <v>482</v>
      </c>
      <c r="R381" s="4">
        <v>100</v>
      </c>
      <c r="S381" s="4">
        <v>100</v>
      </c>
      <c r="T381" s="4">
        <v>100</v>
      </c>
    </row>
    <row r="382" spans="1:20" ht="12" customHeight="1" outlineLevel="1" x14ac:dyDescent="0.2">
      <c r="A382" s="421" t="s">
        <v>307</v>
      </c>
      <c r="B382" s="436" t="s">
        <v>267</v>
      </c>
      <c r="C382" s="433"/>
      <c r="D382" s="469"/>
      <c r="E382" s="433"/>
      <c r="F382" s="469"/>
      <c r="G382" s="470"/>
      <c r="H382" s="471"/>
      <c r="I382" s="428"/>
      <c r="J382" s="428"/>
      <c r="K382" s="472"/>
      <c r="L382" s="472"/>
      <c r="M382" s="550">
        <f>M383+M384+M385</f>
        <v>8905.81</v>
      </c>
      <c r="N382" s="550"/>
      <c r="O382" s="550">
        <f t="shared" ref="O382:T382" si="57">O383+O384+O385</f>
        <v>9348.18</v>
      </c>
      <c r="P382" s="428">
        <f t="shared" si="57"/>
        <v>10350</v>
      </c>
      <c r="Q382" s="428">
        <f t="shared" si="57"/>
        <v>12600</v>
      </c>
      <c r="R382" s="428">
        <f t="shared" si="57"/>
        <v>13600</v>
      </c>
      <c r="S382" s="428">
        <f t="shared" si="57"/>
        <v>10500</v>
      </c>
      <c r="T382" s="428">
        <f t="shared" si="57"/>
        <v>10500</v>
      </c>
    </row>
    <row r="383" spans="1:20" ht="12" customHeight="1" outlineLevel="1" x14ac:dyDescent="0.2">
      <c r="A383" s="55"/>
      <c r="B383" s="137">
        <v>633</v>
      </c>
      <c r="C383" s="47" t="s">
        <v>98</v>
      </c>
      <c r="D383" s="20"/>
      <c r="E383" s="47"/>
      <c r="F383" s="20"/>
      <c r="G383" s="75"/>
      <c r="H383" s="74"/>
      <c r="I383" s="4"/>
      <c r="J383" s="4"/>
      <c r="M383" s="549">
        <v>285.42</v>
      </c>
      <c r="N383" s="549"/>
      <c r="O383" s="549">
        <v>300.88</v>
      </c>
      <c r="P383" s="4">
        <v>550</v>
      </c>
      <c r="Q383" s="4">
        <v>600</v>
      </c>
      <c r="R383" s="4">
        <v>600</v>
      </c>
      <c r="S383" s="4">
        <v>500</v>
      </c>
      <c r="T383" s="4">
        <v>500</v>
      </c>
    </row>
    <row r="384" spans="1:20" ht="12" customHeight="1" outlineLevel="1" x14ac:dyDescent="0.2">
      <c r="A384" s="55"/>
      <c r="B384" s="137">
        <v>637</v>
      </c>
      <c r="C384" s="47" t="s">
        <v>284</v>
      </c>
      <c r="D384" s="20"/>
      <c r="E384" s="47"/>
      <c r="F384" s="20"/>
      <c r="G384" s="75"/>
      <c r="H384" s="74"/>
      <c r="I384" s="4"/>
      <c r="J384" s="4"/>
      <c r="M384" s="549">
        <v>8620.39</v>
      </c>
      <c r="N384" s="549"/>
      <c r="O384" s="549">
        <v>8556.1200000000008</v>
      </c>
      <c r="P384" s="4">
        <v>9800</v>
      </c>
      <c r="Q384" s="4">
        <v>12000</v>
      </c>
      <c r="R384" s="4">
        <v>13000</v>
      </c>
      <c r="S384" s="4">
        <v>10000</v>
      </c>
      <c r="T384" s="4">
        <v>10000</v>
      </c>
    </row>
    <row r="385" spans="1:20" ht="12" customHeight="1" x14ac:dyDescent="0.2">
      <c r="A385" s="44"/>
      <c r="B385" s="10">
        <v>642</v>
      </c>
      <c r="C385" s="11" t="s">
        <v>268</v>
      </c>
      <c r="D385" s="61"/>
      <c r="E385" s="69"/>
      <c r="F385" s="61"/>
      <c r="G385" s="61" t="e">
        <f>+G386+G387+G388+G389+G390+#REF!+#REF!</f>
        <v>#REF!</v>
      </c>
      <c r="H385" s="63" t="e">
        <f>+H386+H387+H388+H389+H390+#REF!+#REF!</f>
        <v>#REF!</v>
      </c>
      <c r="I385" s="64" t="e">
        <f>+I386+I387+I388+I389+I390+#REF!+#REF!</f>
        <v>#REF!</v>
      </c>
      <c r="J385" s="64"/>
      <c r="M385" s="547">
        <v>0</v>
      </c>
      <c r="N385" s="563"/>
      <c r="O385" s="547">
        <v>491.18</v>
      </c>
      <c r="P385" s="64"/>
      <c r="Q385" s="64"/>
      <c r="R385" s="64"/>
      <c r="S385" s="64"/>
      <c r="T385" s="64"/>
    </row>
    <row r="386" spans="1:20" ht="12" hidden="1" customHeight="1" outlineLevel="1" x14ac:dyDescent="0.2">
      <c r="A386" s="68" t="s">
        <v>20</v>
      </c>
      <c r="B386" s="10" t="s">
        <v>172</v>
      </c>
      <c r="C386" s="11" t="s">
        <v>126</v>
      </c>
      <c r="D386" s="20">
        <v>45</v>
      </c>
      <c r="E386" s="47"/>
      <c r="F386" s="20">
        <f>+D386</f>
        <v>45</v>
      </c>
      <c r="G386" s="6">
        <v>1</v>
      </c>
      <c r="H386" s="74">
        <f>+G386/D386</f>
        <v>2.2222222222222223E-2</v>
      </c>
      <c r="I386" s="4">
        <f>+F386</f>
        <v>45</v>
      </c>
      <c r="J386" s="4">
        <v>250</v>
      </c>
      <c r="M386" s="549">
        <v>260</v>
      </c>
      <c r="N386" s="549">
        <v>270</v>
      </c>
      <c r="O386" s="549">
        <v>270</v>
      </c>
      <c r="P386" s="4">
        <v>270</v>
      </c>
      <c r="Q386" s="4">
        <v>260</v>
      </c>
      <c r="R386" s="4">
        <v>260</v>
      </c>
      <c r="S386" s="4">
        <v>260</v>
      </c>
      <c r="T386" s="4">
        <v>260</v>
      </c>
    </row>
    <row r="387" spans="1:20" ht="12" hidden="1" customHeight="1" outlineLevel="1" x14ac:dyDescent="0.2">
      <c r="A387" s="265" t="s">
        <v>163</v>
      </c>
      <c r="B387" s="45" t="s">
        <v>172</v>
      </c>
      <c r="C387" s="11" t="s">
        <v>126</v>
      </c>
      <c r="D387" s="20">
        <v>130</v>
      </c>
      <c r="E387" s="47"/>
      <c r="F387" s="20">
        <f>+D387</f>
        <v>130</v>
      </c>
      <c r="G387" s="6">
        <v>0</v>
      </c>
      <c r="H387" s="74">
        <f>+G387/D387</f>
        <v>0</v>
      </c>
      <c r="I387" s="4">
        <f>+F387</f>
        <v>130</v>
      </c>
      <c r="J387" s="4">
        <v>500</v>
      </c>
      <c r="M387" s="549">
        <v>510</v>
      </c>
      <c r="N387" s="549">
        <v>520</v>
      </c>
      <c r="O387" s="549">
        <v>520</v>
      </c>
      <c r="P387" s="4">
        <v>520</v>
      </c>
      <c r="Q387" s="4">
        <v>510</v>
      </c>
      <c r="R387" s="4">
        <v>510</v>
      </c>
      <c r="S387" s="4">
        <v>510</v>
      </c>
      <c r="T387" s="4">
        <v>510</v>
      </c>
    </row>
    <row r="388" spans="1:20" ht="12" hidden="1" customHeight="1" outlineLevel="1" x14ac:dyDescent="0.2">
      <c r="A388" s="265" t="s">
        <v>164</v>
      </c>
      <c r="B388" s="10" t="s">
        <v>172</v>
      </c>
      <c r="C388" s="11" t="s">
        <v>126</v>
      </c>
      <c r="D388" s="20">
        <v>70</v>
      </c>
      <c r="E388" s="47"/>
      <c r="F388" s="20">
        <f>+D388</f>
        <v>70</v>
      </c>
      <c r="G388" s="6">
        <v>21</v>
      </c>
      <c r="H388" s="74">
        <f>+G388/D388</f>
        <v>0.3</v>
      </c>
      <c r="I388" s="4">
        <f>+F388</f>
        <v>70</v>
      </c>
      <c r="J388" s="4">
        <v>250</v>
      </c>
      <c r="M388" s="549">
        <v>260</v>
      </c>
      <c r="N388" s="549">
        <v>270</v>
      </c>
      <c r="O388" s="549">
        <v>270</v>
      </c>
      <c r="P388" s="4">
        <v>270</v>
      </c>
      <c r="Q388" s="4">
        <v>260</v>
      </c>
      <c r="R388" s="4">
        <v>260</v>
      </c>
      <c r="S388" s="4">
        <v>260</v>
      </c>
      <c r="T388" s="4">
        <v>260</v>
      </c>
    </row>
    <row r="389" spans="1:20" ht="12" hidden="1" customHeight="1" outlineLevel="1" x14ac:dyDescent="0.2">
      <c r="A389" s="265" t="s">
        <v>164</v>
      </c>
      <c r="B389" s="10" t="s">
        <v>173</v>
      </c>
      <c r="C389" s="11" t="s">
        <v>126</v>
      </c>
      <c r="D389" s="20">
        <v>30</v>
      </c>
      <c r="E389" s="47"/>
      <c r="F389" s="20">
        <f>+D389</f>
        <v>30</v>
      </c>
      <c r="G389" s="6">
        <v>11</v>
      </c>
      <c r="H389" s="74">
        <f>+G389/D389</f>
        <v>0.36666666666666664</v>
      </c>
      <c r="I389" s="4">
        <f>+F389</f>
        <v>30</v>
      </c>
      <c r="J389" s="4">
        <v>150</v>
      </c>
      <c r="M389" s="549">
        <v>160</v>
      </c>
      <c r="N389" s="549">
        <v>170</v>
      </c>
      <c r="O389" s="549">
        <v>170</v>
      </c>
      <c r="P389" s="4">
        <v>170</v>
      </c>
      <c r="Q389" s="4">
        <v>160</v>
      </c>
      <c r="R389" s="4">
        <v>160</v>
      </c>
      <c r="S389" s="4">
        <v>160</v>
      </c>
      <c r="T389" s="4">
        <v>160</v>
      </c>
    </row>
    <row r="390" spans="1:20" ht="12" hidden="1" customHeight="1" outlineLevel="1" x14ac:dyDescent="0.2">
      <c r="A390" s="265" t="s">
        <v>164</v>
      </c>
      <c r="B390" s="10">
        <v>642026</v>
      </c>
      <c r="C390" s="11" t="s">
        <v>125</v>
      </c>
      <c r="D390" s="86">
        <v>80</v>
      </c>
      <c r="E390" s="47"/>
      <c r="F390" s="20">
        <f>+D390</f>
        <v>80</v>
      </c>
      <c r="G390" s="6">
        <v>30</v>
      </c>
      <c r="H390" s="74">
        <f>+G390/D390</f>
        <v>0.375</v>
      </c>
      <c r="I390" s="4">
        <v>56</v>
      </c>
      <c r="J390" s="4">
        <v>150</v>
      </c>
      <c r="M390" s="549">
        <v>160</v>
      </c>
      <c r="N390" s="549">
        <v>170</v>
      </c>
      <c r="O390" s="549">
        <v>170</v>
      </c>
      <c r="P390" s="4">
        <v>170</v>
      </c>
      <c r="Q390" s="4">
        <v>160</v>
      </c>
      <c r="R390" s="4">
        <v>160</v>
      </c>
      <c r="S390" s="4">
        <v>160</v>
      </c>
      <c r="T390" s="4">
        <v>160</v>
      </c>
    </row>
    <row r="391" spans="1:20" ht="12" hidden="1" customHeight="1" outlineLevel="1" x14ac:dyDescent="0.2">
      <c r="A391" s="270"/>
      <c r="B391" s="31"/>
      <c r="C391" s="32"/>
      <c r="D391" s="271"/>
      <c r="E391" s="2"/>
      <c r="F391" s="33"/>
      <c r="G391" s="7"/>
      <c r="H391" s="9"/>
      <c r="I391" s="5"/>
      <c r="J391" s="5"/>
      <c r="M391" s="566"/>
      <c r="N391" s="566"/>
      <c r="O391" s="566"/>
      <c r="P391" s="5"/>
      <c r="Q391" s="5"/>
      <c r="R391" s="5"/>
      <c r="S391" s="5"/>
      <c r="T391" s="5"/>
    </row>
    <row r="392" spans="1:20" ht="16.5" customHeight="1" collapsed="1" thickBot="1" x14ac:dyDescent="0.3">
      <c r="A392" s="211" t="s">
        <v>22</v>
      </c>
      <c r="B392" s="212"/>
      <c r="C392" s="213"/>
      <c r="D392" s="214" t="e">
        <f>+D346+D334+D327+D318+D311+D285+D279+#REF!+D270+D246+D242+D236+#REF!+D211+D197+#REF!+D186+#REF!+D175+D167+D138+D113+D102+D95+D78+D68+D10</f>
        <v>#REF!</v>
      </c>
      <c r="E392" s="215" t="e">
        <f>+E346+E334+E327+E318+E311+E285+E279+#REF!++E270+E246+E242+E236+#REF!++E211+E197+#REF!++E186+#REF!+E175+E167++E138+E113+E102+E95+E78+E68+E10</f>
        <v>#REF!</v>
      </c>
      <c r="F392" s="214" t="e">
        <f>+F346+F334+F327+F318+F311+F285+F279+#REF!+F270+F246+F242+F236+#REF!+F211+F197+#REF!+F186+#REF!+F175+F167+F138+F113+F102+F95+F78+F68+F10</f>
        <v>#REF!</v>
      </c>
      <c r="G392" s="216" t="e">
        <f>+G346+G334+G327+G318+G311+G285+G279+#REF!++G270+G246+G242+G236+#REF!+#REF!++G211+G197+#REF!+G192+G186+#REF!+G175+#REF!+G167++G138+G113+G102+G95+G78+G68+G10</f>
        <v>#REF!</v>
      </c>
      <c r="H392" s="204"/>
      <c r="I392" s="216" t="e">
        <f>+I346+I334+I327+I318+I311+I285+I279+#REF!+I270+I246+I242+I236+#REF!+I211+I197+#REF!+I186+#REF!+I175+I167+I138+I113+I102+I95+I78+I68+I10+#REF!+I192+#REF!+0</f>
        <v>#REF!</v>
      </c>
      <c r="J392" s="216" t="e">
        <f>J10+J78+J113+J186+J197+J211+J236+J246+ J253+J262+J270+J279+J285+J346+J131</f>
        <v>#REF!</v>
      </c>
      <c r="K392" s="206"/>
      <c r="L392" s="206"/>
      <c r="M392" s="600">
        <f>M10+M64+M65+M78+M107+M108+M112+M113+M180+M186+M197+M214+M217+M223+M233+M236+M246+M255+M258+M262+M270+M279+M285+M304+M307+M310+M346+M358+M366+M374+M382+M229</f>
        <v>940020.72000000009</v>
      </c>
      <c r="N392" s="567" t="e">
        <f>N10+N78+N113+N186+N197+N211+N236+N246+N253+N262+N270+N279+N285+N346</f>
        <v>#REF!</v>
      </c>
      <c r="O392" s="666">
        <f>O10+O64+O65+O78+O107+O108+O112+O113+O180+O186+O197+O214+O217+O223+O233+O236+O246+O255+O258+O262+O270+O279+O285+O304+O307+O310+O346+O358+O366+O374+O382+O229</f>
        <v>1199561.1900000002</v>
      </c>
      <c r="P392" s="628">
        <f>P10+P64+P65+P78+P107+P108+P112+P113+P180+P186+P197+P214+P217+P223+P233+P236+P246+P255+P258+P262+P270+P279+P285+P304+P307+P310+P346+P358+P366+P374+P382+P229</f>
        <v>1161176</v>
      </c>
      <c r="Q392" s="216">
        <f>Q10+Q64+Q65+Q78+Q107+Q108+Q112+Q113+Q180+Q186+Q197+Q214+Q217+Q223+Q233+Q236+Q246+Q255+Q258+Q262+Q270+Q279+Q285+Q304+Q307+Q310+Q346+Q358+Q366+Q374+Q382+Q229</f>
        <v>1233125.55</v>
      </c>
      <c r="R392" s="216">
        <f>R10+R64+R65+R78+R107+R108+R112+R113+R180+R186+R197+R214+R217+R223+R233+R236+R246+R255+R258+R262+R270+R279+R285+R304+R307+R310+R346+R358+R366+R374+R382+R229</f>
        <v>1204393</v>
      </c>
      <c r="S392" s="216">
        <f>S10+S64+S65+S78+S107+S108+S112+S113+S180+S186+S197+S214+S217+S223+S233+S236+S246+S255+S258+S262+S270+S279+S285+S304+S307+S310+S346+S358+S366+S374+S382</f>
        <v>1091208</v>
      </c>
      <c r="T392" s="216">
        <f>T10+T64+T65+T78+T107+T108+T112+T113+T180+T186+T197+T214+T217+T223+T233+T236+T246+T255+T258+T262+T270+T279+T285+T304+T307+T310+T346+T358+T366+T374+T382</f>
        <v>1051504</v>
      </c>
    </row>
    <row r="393" spans="1:20" ht="16.5" customHeight="1" thickTop="1" thickBot="1" x14ac:dyDescent="0.3">
      <c r="A393" s="140"/>
      <c r="B393" s="96"/>
      <c r="C393" s="97"/>
      <c r="D393" s="13"/>
      <c r="E393" s="13"/>
      <c r="F393" s="13"/>
      <c r="G393" s="13"/>
      <c r="H393" s="9"/>
      <c r="I393" s="13"/>
      <c r="J393" s="141"/>
      <c r="M393" s="568"/>
      <c r="N393" s="568"/>
      <c r="O393" s="568"/>
      <c r="P393" s="141"/>
      <c r="Q393" s="141"/>
      <c r="R393" s="141"/>
      <c r="S393" s="141"/>
      <c r="T393" s="141"/>
    </row>
    <row r="394" spans="1:20" ht="36.75" customHeight="1" thickTop="1" x14ac:dyDescent="0.2">
      <c r="A394" s="168" t="s">
        <v>72</v>
      </c>
      <c r="B394" s="169"/>
      <c r="C394" s="170"/>
      <c r="D394" s="171" t="s">
        <v>41</v>
      </c>
      <c r="E394" s="161"/>
      <c r="F394" s="171" t="s">
        <v>42</v>
      </c>
      <c r="G394" s="172" t="s">
        <v>40</v>
      </c>
      <c r="H394" s="173"/>
      <c r="I394" s="157" t="s">
        <v>79</v>
      </c>
      <c r="J394" s="167" t="s">
        <v>193</v>
      </c>
      <c r="K394" s="166"/>
      <c r="L394" s="166"/>
      <c r="M394" s="569" t="s">
        <v>315</v>
      </c>
      <c r="N394" s="569">
        <v>2009</v>
      </c>
      <c r="O394" s="569" t="s">
        <v>340</v>
      </c>
      <c r="P394" s="157" t="s">
        <v>341</v>
      </c>
      <c r="Q394" s="157" t="s">
        <v>342</v>
      </c>
      <c r="R394" s="157">
        <v>2021</v>
      </c>
      <c r="S394" s="157">
        <v>2022</v>
      </c>
      <c r="T394" s="157">
        <v>2023</v>
      </c>
    </row>
    <row r="395" spans="1:20" ht="21" customHeight="1" x14ac:dyDescent="0.2">
      <c r="A395" s="335"/>
      <c r="B395" s="336"/>
      <c r="C395" s="337"/>
      <c r="D395" s="338"/>
      <c r="E395" s="2"/>
      <c r="F395" s="339"/>
      <c r="G395" s="340"/>
      <c r="H395" s="2"/>
      <c r="I395" s="341"/>
      <c r="J395" s="345" t="s">
        <v>81</v>
      </c>
      <c r="K395" s="110"/>
      <c r="L395" s="110"/>
      <c r="M395" s="570" t="s">
        <v>200</v>
      </c>
      <c r="N395" s="570" t="s">
        <v>194</v>
      </c>
      <c r="O395" s="570" t="s">
        <v>200</v>
      </c>
      <c r="P395" s="345" t="s">
        <v>200</v>
      </c>
      <c r="Q395" s="345" t="s">
        <v>200</v>
      </c>
      <c r="R395" s="345" t="s">
        <v>200</v>
      </c>
      <c r="S395" s="345" t="s">
        <v>200</v>
      </c>
      <c r="T395" s="345" t="s">
        <v>200</v>
      </c>
    </row>
    <row r="396" spans="1:20" ht="12" customHeight="1" x14ac:dyDescent="0.2">
      <c r="A396" s="230" t="s">
        <v>308</v>
      </c>
      <c r="B396" s="220"/>
      <c r="C396" s="221"/>
      <c r="D396" s="222" t="e">
        <f>SUM(D400:D492)</f>
        <v>#REF!</v>
      </c>
      <c r="E396" s="223" t="e">
        <f>SUM(E400:E491)</f>
        <v>#REF!</v>
      </c>
      <c r="F396" s="223" t="e">
        <f>SUM(F400:F492)</f>
        <v>#REF!</v>
      </c>
      <c r="G396" s="225" t="e">
        <f>+G397+#REF!+G444</f>
        <v>#REF!</v>
      </c>
      <c r="H396" s="231" t="e">
        <f>+H397+#REF!+H444</f>
        <v>#REF!</v>
      </c>
      <c r="I396" s="225" t="e">
        <f>+I397+#REF!+I444</f>
        <v>#REF!</v>
      </c>
      <c r="J396" s="225"/>
      <c r="K396" s="228"/>
      <c r="L396" s="229"/>
      <c r="M396" s="545">
        <f>M397+M414</f>
        <v>0</v>
      </c>
      <c r="N396" s="545"/>
      <c r="O396" s="545">
        <f>O397+O413</f>
        <v>63289.93</v>
      </c>
      <c r="P396" s="225">
        <f>P397+P413</f>
        <v>0</v>
      </c>
      <c r="Q396" s="545">
        <f>Q397+Q413</f>
        <v>147421.56</v>
      </c>
      <c r="R396" s="225">
        <f>R397+R413</f>
        <v>50000</v>
      </c>
      <c r="S396" s="225">
        <f>S397+S398+S399+S400+S401+S402+S413</f>
        <v>0</v>
      </c>
      <c r="T396" s="225">
        <f>T397+T398+T399+T400+T401+T413</f>
        <v>15000</v>
      </c>
    </row>
    <row r="397" spans="1:20" ht="12" customHeight="1" x14ac:dyDescent="0.2">
      <c r="A397" s="18"/>
      <c r="B397" s="19">
        <v>716</v>
      </c>
      <c r="C397" s="17" t="s">
        <v>310</v>
      </c>
      <c r="D397" s="20">
        <v>584</v>
      </c>
      <c r="E397" s="2"/>
      <c r="F397" s="20">
        <f>+D397</f>
        <v>584</v>
      </c>
      <c r="G397" s="6">
        <v>71</v>
      </c>
      <c r="H397" s="9">
        <f>+G397/D397</f>
        <v>0.12157534246575342</v>
      </c>
      <c r="I397" s="4">
        <v>584</v>
      </c>
      <c r="J397" s="4">
        <v>560</v>
      </c>
      <c r="M397" s="549">
        <v>0</v>
      </c>
      <c r="N397" s="549">
        <v>0</v>
      </c>
      <c r="O397" s="549">
        <v>0</v>
      </c>
      <c r="P397" s="4"/>
      <c r="Q397" s="549">
        <v>0</v>
      </c>
      <c r="R397" s="4"/>
      <c r="S397" s="4"/>
      <c r="T397" s="4"/>
    </row>
    <row r="398" spans="1:20" ht="12" hidden="1" customHeight="1" x14ac:dyDescent="0.2">
      <c r="A398" s="18"/>
      <c r="B398" s="19"/>
      <c r="C398" s="17"/>
      <c r="D398" s="20"/>
      <c r="E398" s="2"/>
      <c r="F398" s="20"/>
      <c r="G398" s="6"/>
      <c r="H398" s="9"/>
      <c r="I398" s="4"/>
      <c r="J398" s="4">
        <v>7000</v>
      </c>
      <c r="M398" s="549"/>
      <c r="N398" s="549"/>
      <c r="O398" s="549"/>
      <c r="P398" s="4"/>
      <c r="Q398" s="549"/>
      <c r="R398" s="4"/>
      <c r="S398" s="4"/>
      <c r="T398" s="4"/>
    </row>
    <row r="399" spans="1:20" ht="12" hidden="1" customHeight="1" x14ac:dyDescent="0.2">
      <c r="A399" s="18"/>
      <c r="B399" s="19"/>
      <c r="C399" s="17"/>
      <c r="D399" s="20"/>
      <c r="E399" s="2"/>
      <c r="F399" s="20"/>
      <c r="G399" s="6"/>
      <c r="H399" s="9"/>
      <c r="I399" s="4"/>
      <c r="J399" s="4">
        <v>40</v>
      </c>
      <c r="M399" s="549"/>
      <c r="N399" s="549"/>
      <c r="O399" s="549"/>
      <c r="P399" s="4"/>
      <c r="Q399" s="549"/>
      <c r="R399" s="4"/>
      <c r="S399" s="4"/>
      <c r="T399" s="4"/>
    </row>
    <row r="400" spans="1:20" ht="12" hidden="1" customHeight="1" x14ac:dyDescent="0.2">
      <c r="A400" s="18"/>
      <c r="B400" s="19"/>
      <c r="C400" s="17"/>
      <c r="D400" s="20">
        <v>94</v>
      </c>
      <c r="E400" s="2"/>
      <c r="F400" s="20">
        <f>+D400</f>
        <v>94</v>
      </c>
      <c r="G400" s="6">
        <v>94</v>
      </c>
      <c r="H400" s="9">
        <f>+G400/D400</f>
        <v>1</v>
      </c>
      <c r="I400" s="4">
        <v>94</v>
      </c>
      <c r="J400" s="4">
        <v>0</v>
      </c>
      <c r="M400" s="549">
        <v>0</v>
      </c>
      <c r="N400" s="549">
        <v>0</v>
      </c>
      <c r="O400" s="549">
        <v>0</v>
      </c>
      <c r="P400" s="4">
        <v>0</v>
      </c>
      <c r="Q400" s="549">
        <v>0</v>
      </c>
      <c r="R400" s="4">
        <v>0</v>
      </c>
      <c r="S400" s="4">
        <v>0</v>
      </c>
      <c r="T400" s="4">
        <v>0</v>
      </c>
    </row>
    <row r="401" spans="1:20" ht="12" hidden="1" customHeight="1" x14ac:dyDescent="0.2">
      <c r="A401" s="18"/>
      <c r="B401" s="19"/>
      <c r="C401" s="17"/>
      <c r="D401" s="20"/>
      <c r="E401" s="2"/>
      <c r="F401" s="20"/>
      <c r="G401" s="6"/>
      <c r="H401" s="9"/>
      <c r="I401" s="4"/>
      <c r="J401" s="4">
        <v>1400</v>
      </c>
      <c r="M401" s="549"/>
      <c r="N401" s="549"/>
      <c r="O401" s="549"/>
      <c r="P401" s="4"/>
      <c r="Q401" s="549"/>
      <c r="R401" s="4"/>
      <c r="S401" s="4"/>
      <c r="T401" s="4"/>
    </row>
    <row r="402" spans="1:20" ht="12" hidden="1" customHeight="1" x14ac:dyDescent="0.2">
      <c r="A402" s="18"/>
      <c r="B402" s="19"/>
      <c r="C402" s="17"/>
      <c r="D402" s="20">
        <v>1000</v>
      </c>
      <c r="E402" s="2"/>
      <c r="F402" s="20">
        <f>+D402</f>
        <v>1000</v>
      </c>
      <c r="G402" s="6">
        <f>435</f>
        <v>435</v>
      </c>
      <c r="H402" s="9">
        <f>+G402/D402</f>
        <v>0.435</v>
      </c>
      <c r="I402" s="4">
        <v>700</v>
      </c>
      <c r="J402" s="4">
        <v>0</v>
      </c>
      <c r="M402" s="549"/>
      <c r="N402" s="549">
        <v>13900</v>
      </c>
      <c r="O402" s="549">
        <v>0</v>
      </c>
      <c r="P402" s="4">
        <v>0</v>
      </c>
      <c r="Q402" s="549"/>
      <c r="R402" s="4"/>
      <c r="S402" s="4"/>
      <c r="T402" s="4"/>
    </row>
    <row r="403" spans="1:20" ht="12" hidden="1" customHeight="1" x14ac:dyDescent="0.2">
      <c r="A403" s="219" t="s">
        <v>147</v>
      </c>
      <c r="B403" s="220"/>
      <c r="C403" s="239"/>
      <c r="D403" s="222">
        <f>SUM(D405:D454)</f>
        <v>30714</v>
      </c>
      <c r="E403" s="223">
        <f>SUM(E405:E457)</f>
        <v>0</v>
      </c>
      <c r="F403" s="222">
        <f>SUM(F405:F454)</f>
        <v>31062</v>
      </c>
      <c r="G403" s="222" t="e">
        <f>+G404+G407+G444+G451+G453+#REF!</f>
        <v>#REF!</v>
      </c>
      <c r="H403" s="223" t="e">
        <f>+H404+H407+H444+H451+H453+#REF!</f>
        <v>#REF!</v>
      </c>
      <c r="I403" s="225" t="e">
        <f>+I404+I407+I444+I451+I453+#REF!</f>
        <v>#REF!</v>
      </c>
      <c r="J403" s="227"/>
      <c r="K403" s="228"/>
      <c r="L403" s="229"/>
      <c r="M403" s="551"/>
      <c r="N403" s="551"/>
      <c r="O403" s="551"/>
      <c r="P403" s="227"/>
      <c r="Q403" s="551"/>
      <c r="R403" s="227"/>
      <c r="S403" s="227"/>
      <c r="T403" s="227"/>
    </row>
    <row r="404" spans="1:20" ht="12" hidden="1" customHeight="1" x14ac:dyDescent="0.2">
      <c r="A404" s="35"/>
      <c r="B404" s="36">
        <v>714004</v>
      </c>
      <c r="C404" s="37" t="s">
        <v>158</v>
      </c>
      <c r="D404" s="29"/>
      <c r="E404" s="2"/>
      <c r="F404" s="29">
        <v>700</v>
      </c>
      <c r="G404" s="6"/>
      <c r="H404" s="9"/>
      <c r="I404" s="123">
        <v>730</v>
      </c>
      <c r="J404" s="123">
        <v>0</v>
      </c>
      <c r="M404" s="571">
        <v>800</v>
      </c>
      <c r="N404" s="571">
        <v>800</v>
      </c>
      <c r="O404" s="571">
        <v>800</v>
      </c>
      <c r="P404" s="123">
        <v>800</v>
      </c>
      <c r="Q404" s="571">
        <v>800</v>
      </c>
      <c r="R404" s="123">
        <v>800</v>
      </c>
      <c r="S404" s="123">
        <v>800</v>
      </c>
      <c r="T404" s="123">
        <v>800</v>
      </c>
    </row>
    <row r="405" spans="1:20" ht="12" hidden="1" customHeight="1" x14ac:dyDescent="0.2">
      <c r="A405" s="219" t="s">
        <v>146</v>
      </c>
      <c r="B405" s="259"/>
      <c r="C405" s="260"/>
      <c r="D405" s="224"/>
      <c r="E405" s="261"/>
      <c r="F405" s="224"/>
      <c r="G405" s="262"/>
      <c r="H405" s="263"/>
      <c r="I405" s="264"/>
      <c r="J405" s="264"/>
      <c r="K405" s="228"/>
      <c r="L405" s="228"/>
      <c r="M405" s="572"/>
      <c r="N405" s="572"/>
      <c r="O405" s="572"/>
      <c r="P405" s="264"/>
      <c r="Q405" s="572"/>
      <c r="R405" s="264"/>
      <c r="S405" s="264"/>
      <c r="T405" s="264"/>
    </row>
    <row r="406" spans="1:20" ht="12" hidden="1" customHeight="1" x14ac:dyDescent="0.2">
      <c r="A406" s="21"/>
      <c r="B406" s="22">
        <v>721006</v>
      </c>
      <c r="C406" s="23" t="s">
        <v>157</v>
      </c>
      <c r="D406" s="20"/>
      <c r="E406" s="2"/>
      <c r="F406" s="20">
        <f>+D406</f>
        <v>0</v>
      </c>
      <c r="G406" s="6">
        <v>264</v>
      </c>
      <c r="H406" s="9"/>
      <c r="I406" s="4">
        <v>468</v>
      </c>
      <c r="J406" s="4">
        <v>0</v>
      </c>
      <c r="M406" s="549">
        <v>2900</v>
      </c>
      <c r="N406" s="549">
        <v>3000</v>
      </c>
      <c r="O406" s="549">
        <v>3000</v>
      </c>
      <c r="P406" s="4">
        <v>3000</v>
      </c>
      <c r="Q406" s="549">
        <v>2900</v>
      </c>
      <c r="R406" s="4">
        <v>2900</v>
      </c>
      <c r="S406" s="4">
        <v>2900</v>
      </c>
      <c r="T406" s="4">
        <v>2900</v>
      </c>
    </row>
    <row r="407" spans="1:20" ht="12" hidden="1" customHeight="1" x14ac:dyDescent="0.2">
      <c r="A407" s="219" t="s">
        <v>148</v>
      </c>
      <c r="B407" s="220"/>
      <c r="C407" s="238"/>
      <c r="D407" s="222">
        <f>SUM(D410:D417)</f>
        <v>10021</v>
      </c>
      <c r="E407" s="223">
        <f>SUM(E410:E417)</f>
        <v>0</v>
      </c>
      <c r="F407" s="222">
        <f>SUM(F410:F417)</f>
        <v>10021</v>
      </c>
      <c r="G407" s="222">
        <f>+G408+G412</f>
        <v>185</v>
      </c>
      <c r="H407" s="223">
        <f>+H408+H412</f>
        <v>1.405</v>
      </c>
      <c r="I407" s="225">
        <f>+I408+I412</f>
        <v>250</v>
      </c>
      <c r="J407" s="227"/>
      <c r="K407" s="228" t="s">
        <v>54</v>
      </c>
      <c r="L407" s="229"/>
      <c r="M407" s="551"/>
      <c r="N407" s="551"/>
      <c r="O407" s="551"/>
      <c r="P407" s="227"/>
      <c r="Q407" s="551"/>
      <c r="R407" s="227"/>
      <c r="S407" s="227"/>
      <c r="T407" s="227"/>
    </row>
    <row r="408" spans="1:20" ht="12" hidden="1" customHeight="1" x14ac:dyDescent="0.2">
      <c r="A408" s="35"/>
      <c r="B408" s="36">
        <v>717002</v>
      </c>
      <c r="C408" s="37" t="s">
        <v>156</v>
      </c>
      <c r="D408" s="29">
        <v>200</v>
      </c>
      <c r="E408" s="2"/>
      <c r="F408" s="20">
        <f>+D408</f>
        <v>200</v>
      </c>
      <c r="G408" s="6">
        <v>153</v>
      </c>
      <c r="H408" s="9">
        <f>+G408/D408</f>
        <v>0.76500000000000001</v>
      </c>
      <c r="I408" s="123">
        <v>200</v>
      </c>
      <c r="J408" s="123">
        <v>0</v>
      </c>
      <c r="M408" s="571">
        <v>1500</v>
      </c>
      <c r="N408" s="571">
        <v>1700</v>
      </c>
      <c r="O408" s="571">
        <v>1700</v>
      </c>
      <c r="P408" s="123">
        <v>1700</v>
      </c>
      <c r="Q408" s="571">
        <v>1500</v>
      </c>
      <c r="R408" s="123">
        <v>1500</v>
      </c>
      <c r="S408" s="123">
        <v>1500</v>
      </c>
      <c r="T408" s="123">
        <v>1500</v>
      </c>
    </row>
    <row r="409" spans="1:20" ht="12" hidden="1" customHeight="1" x14ac:dyDescent="0.2">
      <c r="A409" s="219" t="s">
        <v>149</v>
      </c>
      <c r="B409" s="220"/>
      <c r="C409" s="238"/>
      <c r="D409" s="222">
        <f>SUM(D417:D421)</f>
        <v>214</v>
      </c>
      <c r="E409" s="223">
        <f>SUM(E417:E421)</f>
        <v>0</v>
      </c>
      <c r="F409" s="222">
        <f>SUM(F417:F421)</f>
        <v>214</v>
      </c>
      <c r="G409" s="222">
        <f>+G410+G419</f>
        <v>0</v>
      </c>
      <c r="H409" s="223">
        <f>+H410+H419</f>
        <v>0</v>
      </c>
      <c r="I409" s="225">
        <f>+I410+I419</f>
        <v>235</v>
      </c>
      <c r="J409" s="227"/>
      <c r="K409" s="228" t="s">
        <v>54</v>
      </c>
      <c r="L409" s="229"/>
      <c r="M409" s="551"/>
      <c r="N409" s="551"/>
      <c r="O409" s="551"/>
      <c r="P409" s="227"/>
      <c r="Q409" s="551"/>
      <c r="R409" s="227"/>
      <c r="S409" s="227"/>
      <c r="T409" s="227"/>
    </row>
    <row r="410" spans="1:20" ht="12" hidden="1" customHeight="1" x14ac:dyDescent="0.2">
      <c r="A410" s="30"/>
      <c r="B410" s="31">
        <v>719200</v>
      </c>
      <c r="C410" s="32" t="s">
        <v>155</v>
      </c>
      <c r="D410" s="33"/>
      <c r="E410" s="2"/>
      <c r="F410" s="34"/>
      <c r="G410" s="3"/>
      <c r="H410" s="9"/>
      <c r="I410" s="5">
        <v>35</v>
      </c>
      <c r="J410" s="123">
        <v>0</v>
      </c>
      <c r="M410" s="571">
        <v>4500</v>
      </c>
      <c r="N410" s="571">
        <v>3500</v>
      </c>
      <c r="O410" s="571">
        <v>3500</v>
      </c>
      <c r="P410" s="123">
        <v>3500</v>
      </c>
      <c r="Q410" s="571">
        <v>4500</v>
      </c>
      <c r="R410" s="123">
        <v>4500</v>
      </c>
      <c r="S410" s="123">
        <v>4500</v>
      </c>
      <c r="T410" s="123">
        <v>4500</v>
      </c>
    </row>
    <row r="411" spans="1:20" ht="12" hidden="1" customHeight="1" x14ac:dyDescent="0.2">
      <c r="A411" s="219" t="s">
        <v>150</v>
      </c>
      <c r="B411" s="220"/>
      <c r="C411" s="221"/>
      <c r="D411" s="222">
        <f>SUM(D417:D444)</f>
        <v>9757</v>
      </c>
      <c r="E411" s="223">
        <f>SUM(E417:E444)</f>
        <v>0</v>
      </c>
      <c r="F411" s="222">
        <f>SUM(F417:F444)</f>
        <v>9757</v>
      </c>
      <c r="G411" s="222">
        <f>+G412+G421+G442</f>
        <v>184</v>
      </c>
      <c r="H411" s="223">
        <f>+H412+H421+H442</f>
        <v>1.248</v>
      </c>
      <c r="I411" s="225">
        <f>+I412+I421+I442</f>
        <v>300</v>
      </c>
      <c r="J411" s="227">
        <v>0</v>
      </c>
      <c r="K411" s="228" t="s">
        <v>53</v>
      </c>
      <c r="L411" s="229"/>
      <c r="M411" s="551"/>
      <c r="N411" s="551"/>
      <c r="O411" s="551"/>
      <c r="P411" s="227"/>
      <c r="Q411" s="551"/>
      <c r="R411" s="227"/>
      <c r="S411" s="227"/>
      <c r="T411" s="227"/>
    </row>
    <row r="412" spans="1:20" ht="12" hidden="1" customHeight="1" x14ac:dyDescent="0.2">
      <c r="A412" s="38"/>
      <c r="B412" s="19">
        <v>717001</v>
      </c>
      <c r="C412" s="17" t="s">
        <v>154</v>
      </c>
      <c r="D412" s="20">
        <v>50</v>
      </c>
      <c r="E412" s="2"/>
      <c r="F412" s="20">
        <f>+D412</f>
        <v>50</v>
      </c>
      <c r="G412" s="6">
        <v>32</v>
      </c>
      <c r="H412" s="9">
        <f t="shared" ref="H412:H420" si="58">+G412/D412</f>
        <v>0.64</v>
      </c>
      <c r="I412" s="4">
        <f>+F412</f>
        <v>50</v>
      </c>
      <c r="J412" s="4">
        <v>0</v>
      </c>
      <c r="M412" s="549">
        <v>250</v>
      </c>
      <c r="N412" s="549">
        <v>250</v>
      </c>
      <c r="O412" s="549">
        <v>250</v>
      </c>
      <c r="P412" s="4">
        <v>250</v>
      </c>
      <c r="Q412" s="549">
        <v>250</v>
      </c>
      <c r="R412" s="4">
        <v>250</v>
      </c>
      <c r="S412" s="4">
        <v>250</v>
      </c>
      <c r="T412" s="4">
        <v>250</v>
      </c>
    </row>
    <row r="413" spans="1:20" ht="12" customHeight="1" x14ac:dyDescent="0.2">
      <c r="A413" s="400"/>
      <c r="B413" s="31">
        <v>717002</v>
      </c>
      <c r="C413" s="32" t="s">
        <v>311</v>
      </c>
      <c r="D413" s="20"/>
      <c r="E413" s="2"/>
      <c r="F413" s="20"/>
      <c r="G413" s="6"/>
      <c r="H413" s="9"/>
      <c r="I413" s="4"/>
      <c r="J413" s="4"/>
      <c r="M413" s="549"/>
      <c r="N413" s="549"/>
      <c r="O413" s="549">
        <v>63289.93</v>
      </c>
      <c r="P413" s="4">
        <v>0</v>
      </c>
      <c r="Q413" s="549">
        <v>147421.56</v>
      </c>
      <c r="R413" s="4">
        <v>50000</v>
      </c>
      <c r="S413" s="4">
        <v>0</v>
      </c>
      <c r="T413" s="4">
        <v>15000</v>
      </c>
    </row>
    <row r="414" spans="1:20" ht="12" customHeight="1" x14ac:dyDescent="0.2">
      <c r="A414" s="641">
        <v>43473</v>
      </c>
      <c r="B414" s="637">
        <v>717001</v>
      </c>
      <c r="C414" s="638" t="s">
        <v>331</v>
      </c>
      <c r="D414" s="633"/>
      <c r="E414" s="632"/>
      <c r="F414" s="633"/>
      <c r="G414" s="634"/>
      <c r="H414" s="635"/>
      <c r="I414" s="639"/>
      <c r="J414" s="639"/>
      <c r="K414" s="636"/>
      <c r="L414" s="636"/>
      <c r="M414" s="640">
        <v>0</v>
      </c>
      <c r="N414" s="640"/>
      <c r="O414" s="640">
        <v>0</v>
      </c>
      <c r="P414" s="639">
        <v>28000</v>
      </c>
      <c r="Q414" s="640">
        <v>33000</v>
      </c>
      <c r="R414" s="639">
        <v>74000</v>
      </c>
      <c r="S414" s="639">
        <v>25000</v>
      </c>
      <c r="T414" s="639">
        <v>10000</v>
      </c>
    </row>
    <row r="415" spans="1:20" ht="12" customHeight="1" x14ac:dyDescent="0.2">
      <c r="A415" s="473" t="s">
        <v>299</v>
      </c>
      <c r="B415" s="474" t="s">
        <v>300</v>
      </c>
      <c r="C415" s="475"/>
      <c r="D415" s="469"/>
      <c r="E415" s="476"/>
      <c r="F415" s="469"/>
      <c r="G415" s="434"/>
      <c r="H415" s="477"/>
      <c r="I415" s="428"/>
      <c r="J415" s="428"/>
      <c r="K415" s="472"/>
      <c r="L415" s="472"/>
      <c r="M415" s="550">
        <f>M416+M417+M425</f>
        <v>0</v>
      </c>
      <c r="N415" s="550"/>
      <c r="O415" s="550">
        <f t="shared" ref="O415:T415" si="59">O416+O417+O425</f>
        <v>60570.8</v>
      </c>
      <c r="P415" s="428">
        <f t="shared" si="59"/>
        <v>114000</v>
      </c>
      <c r="Q415" s="550">
        <f t="shared" si="59"/>
        <v>131109.42000000001</v>
      </c>
      <c r="R415" s="428">
        <f t="shared" si="59"/>
        <v>0</v>
      </c>
      <c r="S415" s="428">
        <f t="shared" si="59"/>
        <v>0</v>
      </c>
      <c r="T415" s="428">
        <f t="shared" si="59"/>
        <v>0</v>
      </c>
    </row>
    <row r="416" spans="1:20" ht="12" customHeight="1" x14ac:dyDescent="0.2">
      <c r="A416" s="414"/>
      <c r="B416" s="418">
        <v>716</v>
      </c>
      <c r="C416" s="419" t="s">
        <v>328</v>
      </c>
      <c r="D416" s="415">
        <f>+D419</f>
        <v>200</v>
      </c>
      <c r="E416" s="416">
        <f>+E419</f>
        <v>0</v>
      </c>
      <c r="F416" s="415">
        <f>+F419</f>
        <v>200</v>
      </c>
      <c r="G416" s="408">
        <f>+G419</f>
        <v>0</v>
      </c>
      <c r="H416" s="406">
        <f t="shared" si="58"/>
        <v>0</v>
      </c>
      <c r="I416" s="408">
        <f>+I419</f>
        <v>200</v>
      </c>
      <c r="J416" s="417">
        <v>0</v>
      </c>
      <c r="K416" s="409"/>
      <c r="L416" s="410"/>
      <c r="M416" s="564">
        <v>0</v>
      </c>
      <c r="N416" s="564"/>
      <c r="O416" s="564">
        <v>0</v>
      </c>
      <c r="P416" s="420">
        <v>0</v>
      </c>
      <c r="Q416" s="564"/>
      <c r="R416" s="417">
        <v>0</v>
      </c>
      <c r="S416" s="417"/>
      <c r="T416" s="417"/>
    </row>
    <row r="417" spans="1:21" ht="12" customHeight="1" thickBot="1" x14ac:dyDescent="0.25">
      <c r="A417" s="39"/>
      <c r="B417" s="36">
        <v>717002</v>
      </c>
      <c r="C417" s="37" t="s">
        <v>327</v>
      </c>
      <c r="D417" s="29">
        <v>14</v>
      </c>
      <c r="E417" s="2"/>
      <c r="F417" s="20">
        <f>+D417</f>
        <v>14</v>
      </c>
      <c r="G417" s="6">
        <v>14</v>
      </c>
      <c r="H417" s="9">
        <f t="shared" si="58"/>
        <v>1</v>
      </c>
      <c r="I417" s="123">
        <f>+F417</f>
        <v>14</v>
      </c>
      <c r="J417" s="123">
        <v>169</v>
      </c>
      <c r="M417" s="571">
        <v>0</v>
      </c>
      <c r="N417" s="571">
        <v>0</v>
      </c>
      <c r="O417" s="571"/>
      <c r="P417" s="123">
        <v>0</v>
      </c>
      <c r="Q417" s="571"/>
      <c r="R417" s="123">
        <v>0</v>
      </c>
      <c r="S417" s="123">
        <v>0</v>
      </c>
      <c r="T417" s="123">
        <v>0</v>
      </c>
    </row>
    <row r="418" spans="1:21" ht="12" hidden="1" customHeight="1" x14ac:dyDescent="0.2">
      <c r="A418" s="247" t="s">
        <v>151</v>
      </c>
      <c r="B418" s="220"/>
      <c r="C418" s="221"/>
      <c r="D418" s="222">
        <f>+D421</f>
        <v>0</v>
      </c>
      <c r="E418" s="223">
        <f>+E421</f>
        <v>0</v>
      </c>
      <c r="F418" s="222">
        <f>+F421</f>
        <v>0</v>
      </c>
      <c r="G418" s="225">
        <f>+G421</f>
        <v>0</v>
      </c>
      <c r="H418" s="226" t="e">
        <f t="shared" si="58"/>
        <v>#DIV/0!</v>
      </c>
      <c r="I418" s="225">
        <f>+I421</f>
        <v>0</v>
      </c>
      <c r="J418" s="227">
        <v>0</v>
      </c>
      <c r="K418" s="228"/>
      <c r="L418" s="229"/>
      <c r="M418" s="551"/>
      <c r="N418" s="551"/>
      <c r="O418" s="551"/>
      <c r="P418" s="227"/>
      <c r="Q418" s="551"/>
      <c r="R418" s="227"/>
      <c r="S418" s="227"/>
      <c r="T418" s="227"/>
    </row>
    <row r="419" spans="1:21" ht="12" hidden="1" customHeight="1" x14ac:dyDescent="0.2">
      <c r="A419" s="39"/>
      <c r="B419" s="36">
        <v>717001</v>
      </c>
      <c r="C419" s="37" t="s">
        <v>154</v>
      </c>
      <c r="D419" s="29">
        <v>200</v>
      </c>
      <c r="E419" s="2"/>
      <c r="F419" s="20">
        <f>+D419</f>
        <v>200</v>
      </c>
      <c r="G419" s="6">
        <v>0</v>
      </c>
      <c r="H419" s="9">
        <f t="shared" si="58"/>
        <v>0</v>
      </c>
      <c r="I419" s="123">
        <v>200</v>
      </c>
      <c r="J419" s="123">
        <v>0</v>
      </c>
      <c r="M419" s="571">
        <v>50</v>
      </c>
      <c r="N419" s="571">
        <v>50</v>
      </c>
      <c r="O419" s="571">
        <v>50</v>
      </c>
      <c r="P419" s="123">
        <v>50</v>
      </c>
      <c r="Q419" s="571">
        <v>50</v>
      </c>
      <c r="R419" s="123">
        <v>50</v>
      </c>
      <c r="S419" s="123">
        <v>50</v>
      </c>
      <c r="T419" s="123">
        <v>50</v>
      </c>
    </row>
    <row r="420" spans="1:21" ht="12" hidden="1" customHeight="1" x14ac:dyDescent="0.2">
      <c r="A420" s="247" t="s">
        <v>152</v>
      </c>
      <c r="B420" s="220"/>
      <c r="C420" s="221"/>
      <c r="D420" s="222">
        <f>+D423</f>
        <v>0</v>
      </c>
      <c r="E420" s="223">
        <f>+E423</f>
        <v>0</v>
      </c>
      <c r="F420" s="222">
        <f>+F423</f>
        <v>0</v>
      </c>
      <c r="G420" s="225">
        <f>+G423</f>
        <v>4</v>
      </c>
      <c r="H420" s="226" t="e">
        <f t="shared" si="58"/>
        <v>#DIV/0!</v>
      </c>
      <c r="I420" s="225">
        <f>+I423</f>
        <v>0</v>
      </c>
      <c r="J420" s="227"/>
      <c r="K420" s="228"/>
      <c r="L420" s="229"/>
      <c r="M420" s="551"/>
      <c r="N420" s="551"/>
      <c r="O420" s="551"/>
      <c r="P420" s="227"/>
      <c r="Q420" s="551"/>
      <c r="R420" s="227"/>
      <c r="S420" s="227"/>
      <c r="T420" s="227"/>
    </row>
    <row r="421" spans="1:21" ht="12" hidden="1" customHeight="1" x14ac:dyDescent="0.2">
      <c r="A421" s="24"/>
      <c r="B421" s="25">
        <v>717001</v>
      </c>
      <c r="C421" s="26" t="s">
        <v>154</v>
      </c>
      <c r="D421" s="20"/>
      <c r="E421" s="27"/>
      <c r="F421" s="20"/>
      <c r="G421" s="6"/>
      <c r="H421" s="28"/>
      <c r="I421" s="4"/>
      <c r="J421" s="123">
        <v>0</v>
      </c>
      <c r="M421" s="571">
        <v>2500</v>
      </c>
      <c r="N421" s="571">
        <v>800</v>
      </c>
      <c r="O421" s="571">
        <v>800</v>
      </c>
      <c r="P421" s="123">
        <v>800</v>
      </c>
      <c r="Q421" s="571">
        <v>2500</v>
      </c>
      <c r="R421" s="123">
        <v>2500</v>
      </c>
      <c r="S421" s="123">
        <v>2500</v>
      </c>
      <c r="T421" s="123">
        <v>2500</v>
      </c>
    </row>
    <row r="422" spans="1:21" ht="12" hidden="1" customHeight="1" x14ac:dyDescent="0.2">
      <c r="A422" s="247" t="s">
        <v>153</v>
      </c>
      <c r="B422" s="220"/>
      <c r="C422" s="221"/>
      <c r="D422" s="222">
        <f>+D425</f>
        <v>320</v>
      </c>
      <c r="E422" s="223">
        <f>+E425</f>
        <v>0</v>
      </c>
      <c r="F422" s="222">
        <f>+F425</f>
        <v>320</v>
      </c>
      <c r="G422" s="225">
        <f>+G425</f>
        <v>65</v>
      </c>
      <c r="H422" s="226">
        <f>+G422/D422</f>
        <v>0.203125</v>
      </c>
      <c r="I422" s="225">
        <f>+I425</f>
        <v>100</v>
      </c>
      <c r="J422" s="227">
        <v>0</v>
      </c>
      <c r="K422" s="228"/>
      <c r="L422" s="229"/>
      <c r="M422" s="551"/>
      <c r="N422" s="551"/>
      <c r="O422" s="551"/>
      <c r="P422" s="227"/>
      <c r="Q422" s="551"/>
      <c r="R422" s="227"/>
      <c r="S422" s="227"/>
      <c r="T422" s="227"/>
    </row>
    <row r="423" spans="1:21" ht="12" hidden="1" customHeight="1" x14ac:dyDescent="0.2">
      <c r="A423" s="39"/>
      <c r="B423" s="36">
        <v>717001</v>
      </c>
      <c r="C423" s="37" t="s">
        <v>154</v>
      </c>
      <c r="D423" s="29"/>
      <c r="E423" s="2"/>
      <c r="F423" s="20">
        <f>+D423</f>
        <v>0</v>
      </c>
      <c r="G423" s="6">
        <v>4</v>
      </c>
      <c r="H423" s="9"/>
      <c r="I423" s="123">
        <v>0</v>
      </c>
      <c r="J423" s="123">
        <v>0</v>
      </c>
      <c r="M423" s="571">
        <v>2500</v>
      </c>
      <c r="N423" s="571">
        <v>2000</v>
      </c>
      <c r="O423" s="571">
        <v>2000</v>
      </c>
      <c r="P423" s="123">
        <v>2000</v>
      </c>
      <c r="Q423" s="571">
        <v>2500</v>
      </c>
      <c r="R423" s="123">
        <v>2500</v>
      </c>
      <c r="S423" s="123">
        <v>2500</v>
      </c>
      <c r="T423" s="123">
        <v>2500</v>
      </c>
    </row>
    <row r="424" spans="1:21" ht="12" hidden="1" customHeight="1" x14ac:dyDescent="0.2">
      <c r="A424" s="39"/>
      <c r="B424" s="36">
        <v>717001</v>
      </c>
      <c r="C424" s="37" t="s">
        <v>154</v>
      </c>
      <c r="D424" s="29">
        <v>6160</v>
      </c>
      <c r="E424" s="2"/>
      <c r="F424" s="20">
        <f>+D424</f>
        <v>6160</v>
      </c>
      <c r="G424" s="6">
        <v>509</v>
      </c>
      <c r="H424" s="9">
        <f>+G424/D424</f>
        <v>8.2629870129870137E-2</v>
      </c>
      <c r="I424" s="123">
        <v>509</v>
      </c>
      <c r="J424" s="123">
        <v>0</v>
      </c>
      <c r="M424" s="571">
        <v>15000</v>
      </c>
      <c r="N424" s="571">
        <v>14500</v>
      </c>
      <c r="O424" s="571">
        <v>14500</v>
      </c>
      <c r="P424" s="123">
        <v>14500</v>
      </c>
      <c r="Q424" s="571">
        <v>15000</v>
      </c>
      <c r="R424" s="123">
        <v>15000</v>
      </c>
      <c r="S424" s="123">
        <v>15000</v>
      </c>
      <c r="T424" s="123">
        <v>15000</v>
      </c>
    </row>
    <row r="425" spans="1:21" ht="12" customHeight="1" thickTop="1" thickBot="1" x14ac:dyDescent="0.25">
      <c r="A425" s="492"/>
      <c r="B425" s="493">
        <v>717002</v>
      </c>
      <c r="C425" s="489" t="s">
        <v>312</v>
      </c>
      <c r="D425" s="415">
        <f>+D444</f>
        <v>320</v>
      </c>
      <c r="E425" s="416">
        <f>+E444</f>
        <v>0</v>
      </c>
      <c r="F425" s="415">
        <f>+F444</f>
        <v>320</v>
      </c>
      <c r="G425" s="408">
        <f>+G444</f>
        <v>65</v>
      </c>
      <c r="H425" s="406">
        <f>+G425/D425</f>
        <v>0.203125</v>
      </c>
      <c r="I425" s="408">
        <f>+I444</f>
        <v>100</v>
      </c>
      <c r="J425" s="417">
        <v>0</v>
      </c>
      <c r="K425" s="409"/>
      <c r="L425" s="410"/>
      <c r="M425" s="564">
        <v>0</v>
      </c>
      <c r="N425" s="564"/>
      <c r="O425" s="564">
        <v>60570.8</v>
      </c>
      <c r="P425" s="420">
        <v>114000</v>
      </c>
      <c r="Q425" s="564">
        <v>131109.42000000001</v>
      </c>
      <c r="R425" s="420">
        <v>0</v>
      </c>
      <c r="S425" s="420">
        <v>0</v>
      </c>
      <c r="T425" s="417">
        <v>0</v>
      </c>
    </row>
    <row r="426" spans="1:21" ht="12" customHeight="1" thickTop="1" thickBot="1" x14ac:dyDescent="0.25">
      <c r="A426" s="498" t="s">
        <v>272</v>
      </c>
      <c r="B426" s="499" t="s">
        <v>271</v>
      </c>
      <c r="C426" s="500"/>
      <c r="D426" s="501"/>
      <c r="E426" s="502"/>
      <c r="F426" s="469"/>
      <c r="G426" s="428"/>
      <c r="H426" s="477"/>
      <c r="I426" s="503"/>
      <c r="J426" s="503"/>
      <c r="K426" s="472"/>
      <c r="L426" s="504"/>
      <c r="M426" s="573">
        <f>M427+M428</f>
        <v>39969.129999999997</v>
      </c>
      <c r="N426" s="573"/>
      <c r="O426" s="573">
        <f t="shared" ref="O426:T426" si="60">O427+O428</f>
        <v>48850</v>
      </c>
      <c r="P426" s="503">
        <f t="shared" si="60"/>
        <v>56000</v>
      </c>
      <c r="Q426" s="573">
        <f t="shared" si="60"/>
        <v>23200</v>
      </c>
      <c r="R426" s="503">
        <f t="shared" si="60"/>
        <v>65000</v>
      </c>
      <c r="S426" s="503">
        <f t="shared" si="60"/>
        <v>20000</v>
      </c>
      <c r="T426" s="503">
        <f t="shared" si="60"/>
        <v>35000</v>
      </c>
    </row>
    <row r="427" spans="1:21" ht="12" customHeight="1" thickTop="1" thickBot="1" x14ac:dyDescent="0.25">
      <c r="A427" s="485"/>
      <c r="B427" s="494">
        <v>717002</v>
      </c>
      <c r="C427" s="544" t="s">
        <v>330</v>
      </c>
      <c r="D427" s="478"/>
      <c r="E427" s="479"/>
      <c r="F427" s="415"/>
      <c r="G427" s="408"/>
      <c r="H427" s="480"/>
      <c r="I427" s="481"/>
      <c r="J427" s="482"/>
      <c r="K427" s="409"/>
      <c r="L427" s="410"/>
      <c r="M427" s="574">
        <v>0</v>
      </c>
      <c r="N427" s="574"/>
      <c r="O427" s="574">
        <v>0</v>
      </c>
      <c r="P427" s="483">
        <v>30000</v>
      </c>
      <c r="Q427" s="574">
        <v>0</v>
      </c>
      <c r="R427" s="483">
        <v>50000</v>
      </c>
      <c r="S427" s="483">
        <v>0</v>
      </c>
      <c r="T427" s="483">
        <v>0</v>
      </c>
    </row>
    <row r="428" spans="1:21" ht="12" customHeight="1" thickTop="1" thickBot="1" x14ac:dyDescent="0.25">
      <c r="A428" s="485"/>
      <c r="B428" s="494">
        <v>712002</v>
      </c>
      <c r="C428" s="667" t="s">
        <v>348</v>
      </c>
      <c r="D428" s="478"/>
      <c r="E428" s="479"/>
      <c r="F428" s="415"/>
      <c r="G428" s="408"/>
      <c r="H428" s="480"/>
      <c r="I428" s="481"/>
      <c r="J428" s="482"/>
      <c r="K428" s="409"/>
      <c r="L428" s="410"/>
      <c r="M428" s="574">
        <v>39969.129999999997</v>
      </c>
      <c r="N428" s="574"/>
      <c r="O428" s="574">
        <v>48850</v>
      </c>
      <c r="P428" s="483">
        <v>26000</v>
      </c>
      <c r="Q428" s="574">
        <v>23200</v>
      </c>
      <c r="R428" s="483">
        <v>15000</v>
      </c>
      <c r="S428" s="483">
        <v>20000</v>
      </c>
      <c r="T428" s="483">
        <v>35000</v>
      </c>
    </row>
    <row r="429" spans="1:21" ht="12" customHeight="1" thickTop="1" thickBot="1" x14ac:dyDescent="0.25">
      <c r="A429" s="642">
        <v>44044</v>
      </c>
      <c r="B429" s="505" t="s">
        <v>321</v>
      </c>
      <c r="C429" s="602"/>
      <c r="D429" s="501"/>
      <c r="E429" s="502"/>
      <c r="F429" s="469"/>
      <c r="G429" s="428"/>
      <c r="H429" s="477"/>
      <c r="I429" s="503"/>
      <c r="J429" s="503"/>
      <c r="K429" s="472"/>
      <c r="L429" s="504"/>
      <c r="M429" s="573">
        <f>M430</f>
        <v>32482.86</v>
      </c>
      <c r="N429" s="573"/>
      <c r="O429" s="573">
        <f>O430</f>
        <v>0</v>
      </c>
      <c r="P429" s="503">
        <v>0</v>
      </c>
      <c r="Q429" s="573">
        <f>Q430</f>
        <v>0</v>
      </c>
      <c r="R429" s="503">
        <v>0</v>
      </c>
      <c r="S429" s="503"/>
      <c r="T429" s="503"/>
    </row>
    <row r="430" spans="1:21" ht="12" customHeight="1" thickTop="1" thickBot="1" x14ac:dyDescent="0.25">
      <c r="A430" s="490"/>
      <c r="B430" s="491">
        <v>717002</v>
      </c>
      <c r="C430" s="484" t="s">
        <v>322</v>
      </c>
      <c r="D430" s="478"/>
      <c r="E430" s="479"/>
      <c r="F430" s="415"/>
      <c r="G430" s="408"/>
      <c r="H430" s="480"/>
      <c r="I430" s="481"/>
      <c r="J430" s="482"/>
      <c r="K430" s="409"/>
      <c r="L430" s="410"/>
      <c r="M430" s="574">
        <v>32482.86</v>
      </c>
      <c r="N430" s="574"/>
      <c r="O430" s="574">
        <v>0</v>
      </c>
      <c r="P430" s="483">
        <v>0</v>
      </c>
      <c r="Q430" s="574"/>
      <c r="R430" s="483">
        <v>0</v>
      </c>
      <c r="S430" s="482"/>
      <c r="T430" s="482"/>
    </row>
    <row r="431" spans="1:21" ht="12" customHeight="1" thickTop="1" thickBot="1" x14ac:dyDescent="0.25">
      <c r="A431" s="603" t="s">
        <v>305</v>
      </c>
      <c r="B431" s="542">
        <v>716</v>
      </c>
      <c r="C431" s="475" t="s">
        <v>349</v>
      </c>
      <c r="D431" s="501"/>
      <c r="E431" s="502"/>
      <c r="F431" s="469"/>
      <c r="G431" s="428"/>
      <c r="H431" s="477"/>
      <c r="I431" s="503"/>
      <c r="J431" s="503"/>
      <c r="K431" s="472"/>
      <c r="L431" s="504"/>
      <c r="M431" s="573">
        <v>0</v>
      </c>
      <c r="N431" s="573"/>
      <c r="O431" s="573">
        <v>0</v>
      </c>
      <c r="P431" s="503">
        <v>4000</v>
      </c>
      <c r="Q431" s="573">
        <v>0</v>
      </c>
      <c r="R431" s="503">
        <v>4000</v>
      </c>
      <c r="S431" s="503"/>
      <c r="T431" s="503"/>
    </row>
    <row r="432" spans="1:21" ht="12" customHeight="1" thickTop="1" thickBot="1" x14ac:dyDescent="0.25">
      <c r="A432" s="601">
        <v>42771</v>
      </c>
      <c r="B432" s="506" t="s">
        <v>294</v>
      </c>
      <c r="C432" s="507"/>
      <c r="D432" s="508"/>
      <c r="E432" s="502"/>
      <c r="F432" s="469"/>
      <c r="G432" s="428"/>
      <c r="H432" s="477"/>
      <c r="I432" s="503"/>
      <c r="J432" s="503"/>
      <c r="K432" s="472"/>
      <c r="L432" s="504"/>
      <c r="M432" s="573">
        <v>162131.1</v>
      </c>
      <c r="N432" s="573"/>
      <c r="O432" s="573">
        <v>211137.12</v>
      </c>
      <c r="P432" s="503">
        <v>11000</v>
      </c>
      <c r="Q432" s="573">
        <f>Q433</f>
        <v>0</v>
      </c>
      <c r="R432" s="503">
        <v>11000</v>
      </c>
      <c r="S432" s="503"/>
      <c r="T432" s="503"/>
      <c r="U432" s="252"/>
    </row>
    <row r="433" spans="1:20" ht="12" customHeight="1" thickTop="1" thickBot="1" x14ac:dyDescent="0.25">
      <c r="A433" s="496"/>
      <c r="B433" s="488" t="s">
        <v>353</v>
      </c>
      <c r="C433" s="497" t="s">
        <v>350</v>
      </c>
      <c r="D433" s="486"/>
      <c r="E433" s="479"/>
      <c r="F433" s="415"/>
      <c r="G433" s="408"/>
      <c r="H433" s="480"/>
      <c r="I433" s="481"/>
      <c r="J433" s="482"/>
      <c r="K433" s="409"/>
      <c r="L433" s="410"/>
      <c r="M433" s="574">
        <v>162131.1</v>
      </c>
      <c r="N433" s="574"/>
      <c r="O433" s="574">
        <v>211137.12</v>
      </c>
      <c r="P433" s="483">
        <v>11000</v>
      </c>
      <c r="Q433" s="574">
        <v>0</v>
      </c>
      <c r="R433" s="483">
        <v>11000</v>
      </c>
      <c r="S433" s="482"/>
      <c r="T433" s="482"/>
    </row>
    <row r="434" spans="1:20" ht="12" customHeight="1" thickBot="1" x14ac:dyDescent="0.25">
      <c r="A434" s="614">
        <v>43016</v>
      </c>
      <c r="B434" s="615">
        <v>713004</v>
      </c>
      <c r="C434" s="616" t="s">
        <v>314</v>
      </c>
      <c r="D434" s="617"/>
      <c r="E434" s="618"/>
      <c r="F434" s="619"/>
      <c r="G434" s="620"/>
      <c r="H434" s="621"/>
      <c r="I434" s="622"/>
      <c r="J434" s="623"/>
      <c r="K434" s="624"/>
      <c r="L434" s="625"/>
      <c r="M434" s="630"/>
      <c r="N434" s="626"/>
      <c r="O434" s="626"/>
      <c r="P434" s="627"/>
      <c r="Q434" s="630">
        <v>0</v>
      </c>
      <c r="R434" s="668">
        <v>0</v>
      </c>
      <c r="S434" s="623"/>
      <c r="T434" s="623"/>
    </row>
    <row r="435" spans="1:20" ht="12" customHeight="1" thickBot="1" x14ac:dyDescent="0.25">
      <c r="A435" s="519" t="s">
        <v>323</v>
      </c>
      <c r="B435" s="509" t="s">
        <v>324</v>
      </c>
      <c r="C435" s="510"/>
      <c r="D435" s="511"/>
      <c r="E435" s="512"/>
      <c r="F435" s="513"/>
      <c r="G435" s="514"/>
      <c r="H435" s="515"/>
      <c r="I435" s="516"/>
      <c r="J435" s="516"/>
      <c r="K435" s="517"/>
      <c r="L435" s="518"/>
      <c r="M435" s="575">
        <f>M436</f>
        <v>0</v>
      </c>
      <c r="N435" s="575"/>
      <c r="O435" s="575">
        <v>59089.34</v>
      </c>
      <c r="P435" s="516">
        <f>P436</f>
        <v>0</v>
      </c>
      <c r="Q435" s="575">
        <v>0</v>
      </c>
      <c r="R435" s="516">
        <f>R436</f>
        <v>0</v>
      </c>
      <c r="S435" s="516"/>
      <c r="T435" s="516"/>
    </row>
    <row r="436" spans="1:20" ht="12" customHeight="1" thickBot="1" x14ac:dyDescent="0.25">
      <c r="A436" s="495"/>
      <c r="B436" s="488">
        <v>716.71699999999998</v>
      </c>
      <c r="C436" s="487" t="s">
        <v>326</v>
      </c>
      <c r="D436" s="486"/>
      <c r="E436" s="479"/>
      <c r="F436" s="415"/>
      <c r="G436" s="408"/>
      <c r="H436" s="480"/>
      <c r="I436" s="481"/>
      <c r="J436" s="482"/>
      <c r="K436" s="409"/>
      <c r="L436" s="410"/>
      <c r="M436" s="574">
        <v>0</v>
      </c>
      <c r="N436" s="574"/>
      <c r="O436" s="574">
        <v>59089.34</v>
      </c>
      <c r="P436" s="483">
        <v>0</v>
      </c>
      <c r="Q436" s="574"/>
      <c r="R436" s="483">
        <v>0</v>
      </c>
      <c r="S436" s="482"/>
      <c r="T436" s="482"/>
    </row>
    <row r="437" spans="1:20" ht="12" customHeight="1" thickBot="1" x14ac:dyDescent="0.25">
      <c r="A437" s="629">
        <v>37260</v>
      </c>
      <c r="B437" s="535" t="s">
        <v>325</v>
      </c>
      <c r="C437" s="536"/>
      <c r="D437" s="508"/>
      <c r="E437" s="502"/>
      <c r="F437" s="469"/>
      <c r="G437" s="428"/>
      <c r="H437" s="477"/>
      <c r="I437" s="503"/>
      <c r="J437" s="503"/>
      <c r="K437" s="472"/>
      <c r="L437" s="504"/>
      <c r="M437" s="573">
        <f>M438</f>
        <v>2150</v>
      </c>
      <c r="N437" s="573"/>
      <c r="O437" s="573">
        <v>3690</v>
      </c>
      <c r="P437" s="503"/>
      <c r="Q437" s="573">
        <v>0</v>
      </c>
      <c r="R437" s="503">
        <v>0</v>
      </c>
      <c r="S437" s="503"/>
      <c r="T437" s="503"/>
    </row>
    <row r="438" spans="1:20" ht="12" customHeight="1" thickBot="1" x14ac:dyDescent="0.25">
      <c r="A438" s="495"/>
      <c r="B438" s="488">
        <v>713004</v>
      </c>
      <c r="C438" s="487" t="s">
        <v>329</v>
      </c>
      <c r="D438" s="486"/>
      <c r="E438" s="479"/>
      <c r="F438" s="415"/>
      <c r="G438" s="408"/>
      <c r="H438" s="480"/>
      <c r="I438" s="481"/>
      <c r="J438" s="482"/>
      <c r="K438" s="409"/>
      <c r="L438" s="410"/>
      <c r="M438" s="574">
        <v>2150</v>
      </c>
      <c r="N438" s="574"/>
      <c r="O438" s="574">
        <v>3690</v>
      </c>
      <c r="P438" s="483">
        <v>0</v>
      </c>
      <c r="Q438" s="574">
        <v>0</v>
      </c>
      <c r="R438" s="483">
        <v>0</v>
      </c>
      <c r="S438" s="482"/>
      <c r="T438" s="482"/>
    </row>
    <row r="439" spans="1:20" ht="12" customHeight="1" thickBot="1" x14ac:dyDescent="0.25">
      <c r="A439" s="613" t="s">
        <v>332</v>
      </c>
      <c r="B439" s="535" t="s">
        <v>333</v>
      </c>
      <c r="C439" s="536" t="s">
        <v>334</v>
      </c>
      <c r="D439" s="508"/>
      <c r="E439" s="502"/>
      <c r="F439" s="469"/>
      <c r="G439" s="428"/>
      <c r="H439" s="477"/>
      <c r="I439" s="503"/>
      <c r="J439" s="503"/>
      <c r="K439" s="472"/>
      <c r="L439" s="504"/>
      <c r="M439" s="573">
        <v>8043</v>
      </c>
      <c r="N439" s="573"/>
      <c r="O439" s="573">
        <v>720</v>
      </c>
      <c r="P439" s="503"/>
      <c r="Q439" s="573"/>
      <c r="R439" s="503">
        <v>0</v>
      </c>
      <c r="S439" s="503"/>
      <c r="T439" s="503"/>
    </row>
    <row r="440" spans="1:20" ht="12" customHeight="1" x14ac:dyDescent="0.2">
      <c r="A440" s="537" t="s">
        <v>273</v>
      </c>
      <c r="B440" s="535" t="s">
        <v>274</v>
      </c>
      <c r="C440" s="536"/>
      <c r="D440" s="508"/>
      <c r="E440" s="502"/>
      <c r="F440" s="469"/>
      <c r="G440" s="428"/>
      <c r="H440" s="477"/>
      <c r="I440" s="503"/>
      <c r="J440" s="503"/>
      <c r="K440" s="472"/>
      <c r="L440" s="504"/>
      <c r="M440" s="573">
        <f>M441+M442</f>
        <v>0</v>
      </c>
      <c r="N440" s="573"/>
      <c r="O440" s="573">
        <f>O441</f>
        <v>0</v>
      </c>
      <c r="P440" s="503">
        <v>25000</v>
      </c>
      <c r="Q440" s="573">
        <v>24981.73</v>
      </c>
      <c r="R440" s="503">
        <v>0</v>
      </c>
      <c r="S440" s="503"/>
      <c r="T440" s="503"/>
    </row>
    <row r="441" spans="1:20" ht="12" customHeight="1" thickBot="1" x14ac:dyDescent="0.25">
      <c r="A441" s="631">
        <v>36931</v>
      </c>
      <c r="B441" s="643">
        <v>713001</v>
      </c>
      <c r="C441" s="487" t="s">
        <v>335</v>
      </c>
      <c r="D441" s="486"/>
      <c r="E441" s="479"/>
      <c r="F441" s="415"/>
      <c r="G441" s="408"/>
      <c r="H441" s="480"/>
      <c r="I441" s="481"/>
      <c r="J441" s="482"/>
      <c r="K441" s="409"/>
      <c r="L441" s="410"/>
      <c r="M441" s="574">
        <v>0</v>
      </c>
      <c r="N441" s="574"/>
      <c r="O441" s="574">
        <v>0</v>
      </c>
      <c r="P441" s="483"/>
      <c r="Q441" s="574">
        <v>0</v>
      </c>
      <c r="R441" s="483">
        <v>0</v>
      </c>
      <c r="S441" s="482"/>
      <c r="T441" s="482"/>
    </row>
    <row r="442" spans="1:20" ht="12" customHeight="1" thickTop="1" x14ac:dyDescent="0.2">
      <c r="A442" s="644"/>
      <c r="B442" s="645">
        <v>717002</v>
      </c>
      <c r="C442" s="646" t="s">
        <v>336</v>
      </c>
      <c r="D442" s="647">
        <v>250</v>
      </c>
      <c r="E442" s="648"/>
      <c r="F442" s="649">
        <f>+D442</f>
        <v>250</v>
      </c>
      <c r="G442" s="650">
        <f>182-14-16</f>
        <v>152</v>
      </c>
      <c r="H442" s="651">
        <f>+G442/D442</f>
        <v>0.60799999999999998</v>
      </c>
      <c r="I442" s="652">
        <v>250</v>
      </c>
      <c r="J442" s="652">
        <v>0</v>
      </c>
      <c r="K442" s="653"/>
      <c r="L442" s="653"/>
      <c r="M442" s="654">
        <v>0</v>
      </c>
      <c r="N442" s="654">
        <v>0</v>
      </c>
      <c r="O442" s="654">
        <v>0</v>
      </c>
      <c r="P442" s="655">
        <v>25000</v>
      </c>
      <c r="Q442" s="654">
        <v>24981.73</v>
      </c>
      <c r="R442" s="652">
        <v>0</v>
      </c>
      <c r="S442" s="652">
        <v>0</v>
      </c>
      <c r="T442" s="652">
        <v>0</v>
      </c>
    </row>
    <row r="443" spans="1:20" ht="12" hidden="1" customHeight="1" x14ac:dyDescent="0.2">
      <c r="A443" s="35"/>
      <c r="B443" s="36" t="s">
        <v>34</v>
      </c>
      <c r="C443" s="37" t="s">
        <v>154</v>
      </c>
      <c r="D443" s="29">
        <v>2173</v>
      </c>
      <c r="E443" s="2"/>
      <c r="F443" s="20">
        <f>+D443</f>
        <v>2173</v>
      </c>
      <c r="G443" s="6">
        <v>2249</v>
      </c>
      <c r="H443" s="9">
        <f>+G443/D443</f>
        <v>1.0349746893695353</v>
      </c>
      <c r="I443" s="123">
        <f>2173+250+7-109-4</f>
        <v>2317</v>
      </c>
      <c r="J443" s="123">
        <v>0</v>
      </c>
      <c r="M443" s="571">
        <v>2000</v>
      </c>
      <c r="N443" s="571">
        <v>150</v>
      </c>
      <c r="O443" s="571">
        <v>150</v>
      </c>
      <c r="P443" s="123">
        <v>150</v>
      </c>
      <c r="Q443" s="571">
        <v>2000</v>
      </c>
      <c r="R443" s="123">
        <v>2000</v>
      </c>
      <c r="S443" s="123">
        <v>2000</v>
      </c>
      <c r="T443" s="123">
        <v>2000</v>
      </c>
    </row>
    <row r="444" spans="1:20" ht="12" hidden="1" customHeight="1" x14ac:dyDescent="0.2">
      <c r="A444" s="35"/>
      <c r="B444" s="36" t="s">
        <v>35</v>
      </c>
      <c r="C444" s="37" t="s">
        <v>154</v>
      </c>
      <c r="D444" s="29">
        <v>320</v>
      </c>
      <c r="E444" s="2"/>
      <c r="F444" s="20">
        <f>+D444</f>
        <v>320</v>
      </c>
      <c r="G444" s="6">
        <v>65</v>
      </c>
      <c r="H444" s="9">
        <f>+G444/D444</f>
        <v>0.203125</v>
      </c>
      <c r="I444" s="123">
        <v>100</v>
      </c>
      <c r="J444" s="123">
        <v>0</v>
      </c>
      <c r="M444" s="571">
        <v>800</v>
      </c>
      <c r="N444" s="571">
        <v>900</v>
      </c>
      <c r="O444" s="571">
        <v>900</v>
      </c>
      <c r="P444" s="123">
        <v>900</v>
      </c>
      <c r="Q444" s="571">
        <v>800</v>
      </c>
      <c r="R444" s="123">
        <v>800</v>
      </c>
      <c r="S444" s="123">
        <v>800</v>
      </c>
      <c r="T444" s="123">
        <v>800</v>
      </c>
    </row>
    <row r="445" spans="1:20" ht="12" hidden="1" customHeight="1" x14ac:dyDescent="0.2">
      <c r="A445" s="35"/>
      <c r="B445" s="36" t="s">
        <v>36</v>
      </c>
      <c r="C445" s="37" t="s">
        <v>154</v>
      </c>
      <c r="D445" s="29">
        <v>50</v>
      </c>
      <c r="E445" s="2"/>
      <c r="F445" s="20">
        <f>+D445</f>
        <v>50</v>
      </c>
      <c r="G445" s="6">
        <v>0</v>
      </c>
      <c r="H445" s="9">
        <f>+G445/D445</f>
        <v>0</v>
      </c>
      <c r="I445" s="123">
        <v>50</v>
      </c>
      <c r="J445" s="123">
        <v>0</v>
      </c>
      <c r="M445" s="571">
        <v>1500</v>
      </c>
      <c r="N445" s="571">
        <v>100</v>
      </c>
      <c r="O445" s="571">
        <v>100</v>
      </c>
      <c r="P445" s="123">
        <v>100</v>
      </c>
      <c r="Q445" s="571">
        <v>1500</v>
      </c>
      <c r="R445" s="123">
        <v>1500</v>
      </c>
      <c r="S445" s="123">
        <v>1500</v>
      </c>
      <c r="T445" s="123">
        <v>1500</v>
      </c>
    </row>
    <row r="446" spans="1:20" ht="12" hidden="1" customHeight="1" x14ac:dyDescent="0.2">
      <c r="A446" s="247" t="s">
        <v>159</v>
      </c>
      <c r="B446" s="220"/>
      <c r="C446" s="221"/>
      <c r="D446" s="222">
        <f>+D449</f>
        <v>155</v>
      </c>
      <c r="E446" s="223">
        <f>+E449</f>
        <v>0</v>
      </c>
      <c r="F446" s="222">
        <f>+F449</f>
        <v>155</v>
      </c>
      <c r="G446" s="225">
        <f>+G449</f>
        <v>155</v>
      </c>
      <c r="H446" s="226">
        <f>+G446/D446</f>
        <v>1</v>
      </c>
      <c r="I446" s="225">
        <f>+I449</f>
        <v>155</v>
      </c>
      <c r="J446" s="227">
        <v>0</v>
      </c>
      <c r="K446" s="228"/>
      <c r="L446" s="229"/>
      <c r="M446" s="551"/>
      <c r="N446" s="551"/>
      <c r="O446" s="551"/>
      <c r="P446" s="227"/>
      <c r="Q446" s="551"/>
      <c r="R446" s="227"/>
      <c r="S446" s="227"/>
      <c r="T446" s="227"/>
    </row>
    <row r="447" spans="1:20" ht="12" hidden="1" customHeight="1" x14ac:dyDescent="0.2">
      <c r="A447" s="35"/>
      <c r="B447" s="36">
        <v>717002</v>
      </c>
      <c r="C447" s="37" t="s">
        <v>156</v>
      </c>
      <c r="D447" s="29">
        <v>0</v>
      </c>
      <c r="E447" s="2"/>
      <c r="F447" s="20">
        <f>+D447</f>
        <v>0</v>
      </c>
      <c r="G447" s="6">
        <v>80</v>
      </c>
      <c r="H447" s="9"/>
      <c r="I447" s="123">
        <v>397</v>
      </c>
      <c r="J447" s="123">
        <v>0</v>
      </c>
      <c r="M447" s="571">
        <v>150</v>
      </c>
      <c r="N447" s="571">
        <v>150</v>
      </c>
      <c r="O447" s="571">
        <v>150</v>
      </c>
      <c r="P447" s="123">
        <v>150</v>
      </c>
      <c r="Q447" s="571">
        <v>150</v>
      </c>
      <c r="R447" s="123">
        <v>150</v>
      </c>
      <c r="S447" s="123">
        <v>150</v>
      </c>
      <c r="T447" s="123">
        <v>150</v>
      </c>
    </row>
    <row r="448" spans="1:20" ht="12" hidden="1" customHeight="1" x14ac:dyDescent="0.2">
      <c r="A448" s="35"/>
      <c r="B448" s="36">
        <v>723002</v>
      </c>
      <c r="C448" s="37" t="s">
        <v>127</v>
      </c>
      <c r="D448" s="29"/>
      <c r="E448" s="2"/>
      <c r="F448" s="20"/>
      <c r="G448" s="6"/>
      <c r="H448" s="9"/>
      <c r="I448" s="123">
        <v>300</v>
      </c>
      <c r="J448" s="123">
        <v>0</v>
      </c>
      <c r="M448" s="571">
        <v>2500</v>
      </c>
      <c r="N448" s="571">
        <v>1500</v>
      </c>
      <c r="O448" s="571">
        <v>1500</v>
      </c>
      <c r="P448" s="123">
        <v>1500</v>
      </c>
      <c r="Q448" s="571">
        <v>2500</v>
      </c>
      <c r="R448" s="123">
        <v>2500</v>
      </c>
      <c r="S448" s="123">
        <v>2500</v>
      </c>
      <c r="T448" s="123">
        <v>2500</v>
      </c>
    </row>
    <row r="449" spans="1:20" ht="12" hidden="1" customHeight="1" x14ac:dyDescent="0.2">
      <c r="A449" s="247" t="s">
        <v>160</v>
      </c>
      <c r="B449" s="220"/>
      <c r="C449" s="221"/>
      <c r="D449" s="222">
        <f>+D453</f>
        <v>155</v>
      </c>
      <c r="E449" s="223">
        <f>+E453</f>
        <v>0</v>
      </c>
      <c r="F449" s="222">
        <f>+F453</f>
        <v>155</v>
      </c>
      <c r="G449" s="225">
        <f>+G453</f>
        <v>155</v>
      </c>
      <c r="H449" s="226">
        <f>+G449/D449</f>
        <v>1</v>
      </c>
      <c r="I449" s="225">
        <f>+I453</f>
        <v>155</v>
      </c>
      <c r="J449" s="227">
        <v>0</v>
      </c>
      <c r="K449" s="228"/>
      <c r="L449" s="229"/>
      <c r="M449" s="551"/>
      <c r="N449" s="551"/>
      <c r="O449" s="551"/>
      <c r="P449" s="227"/>
      <c r="Q449" s="551"/>
      <c r="R449" s="227"/>
      <c r="S449" s="227"/>
      <c r="T449" s="227"/>
    </row>
    <row r="450" spans="1:20" ht="12" hidden="1" customHeight="1" x14ac:dyDescent="0.2">
      <c r="A450" s="35"/>
      <c r="B450" s="36">
        <v>713004</v>
      </c>
      <c r="C450" s="40" t="s">
        <v>128</v>
      </c>
      <c r="D450" s="29"/>
      <c r="E450" s="2"/>
      <c r="F450" s="29"/>
      <c r="G450" s="6"/>
      <c r="H450" s="9"/>
      <c r="I450" s="123"/>
      <c r="J450" s="123">
        <v>0</v>
      </c>
      <c r="M450" s="571">
        <v>2800</v>
      </c>
      <c r="N450" s="571">
        <v>1900</v>
      </c>
      <c r="O450" s="571">
        <v>1900</v>
      </c>
      <c r="P450" s="123">
        <v>1900</v>
      </c>
      <c r="Q450" s="571">
        <v>2800</v>
      </c>
      <c r="R450" s="123">
        <v>2800</v>
      </c>
      <c r="S450" s="123">
        <v>2800</v>
      </c>
      <c r="T450" s="123">
        <v>2800</v>
      </c>
    </row>
    <row r="451" spans="1:20" ht="12" hidden="1" customHeight="1" x14ac:dyDescent="0.2">
      <c r="A451" s="35"/>
      <c r="B451" s="36" t="s">
        <v>174</v>
      </c>
      <c r="C451" s="37" t="s">
        <v>154</v>
      </c>
      <c r="D451" s="29">
        <v>0</v>
      </c>
      <c r="E451" s="2"/>
      <c r="F451" s="20">
        <v>58</v>
      </c>
      <c r="G451" s="6">
        <v>1233</v>
      </c>
      <c r="H451" s="9"/>
      <c r="I451" s="123">
        <v>1253</v>
      </c>
      <c r="J451" s="123">
        <v>0</v>
      </c>
      <c r="M451" s="571">
        <v>3500</v>
      </c>
      <c r="N451" s="571">
        <v>4500</v>
      </c>
      <c r="O451" s="571">
        <v>4500</v>
      </c>
      <c r="P451" s="123">
        <v>4500</v>
      </c>
      <c r="Q451" s="571">
        <v>3500</v>
      </c>
      <c r="R451" s="123">
        <v>3500</v>
      </c>
      <c r="S451" s="123">
        <v>3500</v>
      </c>
      <c r="T451" s="123">
        <v>3500</v>
      </c>
    </row>
    <row r="452" spans="1:20" ht="12" hidden="1" customHeight="1" x14ac:dyDescent="0.2">
      <c r="A452" s="35"/>
      <c r="B452" s="36" t="s">
        <v>175</v>
      </c>
      <c r="C452" s="37" t="s">
        <v>154</v>
      </c>
      <c r="D452" s="29">
        <v>0</v>
      </c>
      <c r="E452" s="2"/>
      <c r="F452" s="29">
        <v>290</v>
      </c>
      <c r="G452" s="6">
        <v>0</v>
      </c>
      <c r="H452" s="9"/>
      <c r="I452" s="123">
        <v>290</v>
      </c>
      <c r="J452" s="123">
        <v>0</v>
      </c>
      <c r="M452" s="571">
        <v>1800</v>
      </c>
      <c r="N452" s="571">
        <v>1800</v>
      </c>
      <c r="O452" s="571">
        <v>1800</v>
      </c>
      <c r="P452" s="123">
        <v>1800</v>
      </c>
      <c r="Q452" s="571">
        <v>1800</v>
      </c>
      <c r="R452" s="123">
        <v>1800</v>
      </c>
      <c r="S452" s="123">
        <v>1800</v>
      </c>
      <c r="T452" s="123">
        <v>1800</v>
      </c>
    </row>
    <row r="453" spans="1:20" ht="12" hidden="1" customHeight="1" x14ac:dyDescent="0.2">
      <c r="A453" s="35"/>
      <c r="B453" s="36" t="s">
        <v>176</v>
      </c>
      <c r="C453" s="37" t="s">
        <v>156</v>
      </c>
      <c r="D453" s="29">
        <v>155</v>
      </c>
      <c r="E453" s="2"/>
      <c r="F453" s="29">
        <f>+D453</f>
        <v>155</v>
      </c>
      <c r="G453" s="6">
        <v>155</v>
      </c>
      <c r="H453" s="9">
        <f>+G453/D453</f>
        <v>1</v>
      </c>
      <c r="I453" s="123">
        <v>155</v>
      </c>
      <c r="J453" s="123">
        <v>0</v>
      </c>
      <c r="M453" s="571">
        <v>800</v>
      </c>
      <c r="N453" s="571">
        <v>800</v>
      </c>
      <c r="O453" s="571">
        <v>800</v>
      </c>
      <c r="P453" s="123">
        <v>800</v>
      </c>
      <c r="Q453" s="571">
        <v>800</v>
      </c>
      <c r="R453" s="123">
        <v>800</v>
      </c>
      <c r="S453" s="123">
        <v>800</v>
      </c>
      <c r="T453" s="123">
        <v>800</v>
      </c>
    </row>
    <row r="454" spans="1:20" ht="12" hidden="1" customHeight="1" x14ac:dyDescent="0.2">
      <c r="A454" s="35"/>
      <c r="B454" s="36" t="s">
        <v>177</v>
      </c>
      <c r="C454" s="37" t="s">
        <v>156</v>
      </c>
      <c r="D454" s="29"/>
      <c r="E454" s="2"/>
      <c r="F454" s="29"/>
      <c r="G454" s="6"/>
      <c r="H454" s="9"/>
      <c r="I454" s="123"/>
      <c r="J454" s="123">
        <v>0</v>
      </c>
      <c r="M454" s="571">
        <v>500</v>
      </c>
      <c r="N454" s="571">
        <v>250</v>
      </c>
      <c r="O454" s="571">
        <v>250</v>
      </c>
      <c r="P454" s="123">
        <v>250</v>
      </c>
      <c r="Q454" s="571">
        <v>500</v>
      </c>
      <c r="R454" s="123">
        <v>500</v>
      </c>
      <c r="S454" s="123">
        <v>500</v>
      </c>
      <c r="T454" s="123">
        <v>500</v>
      </c>
    </row>
    <row r="455" spans="1:20" ht="12" customHeight="1" x14ac:dyDescent="0.2">
      <c r="A455" s="679">
        <v>111</v>
      </c>
      <c r="B455" s="669">
        <v>714001</v>
      </c>
      <c r="C455" s="670" t="s">
        <v>351</v>
      </c>
      <c r="D455" s="671"/>
      <c r="E455" s="672"/>
      <c r="F455" s="671"/>
      <c r="G455" s="673"/>
      <c r="H455" s="674"/>
      <c r="I455" s="675"/>
      <c r="J455" s="675"/>
      <c r="K455" s="676"/>
      <c r="L455" s="676"/>
      <c r="M455" s="677">
        <v>0</v>
      </c>
      <c r="N455" s="677"/>
      <c r="O455" s="677">
        <v>17901</v>
      </c>
      <c r="P455" s="675"/>
      <c r="Q455" s="677"/>
      <c r="R455" s="675"/>
      <c r="S455" s="675"/>
      <c r="T455" s="675"/>
    </row>
    <row r="456" spans="1:20" ht="12" customHeight="1" x14ac:dyDescent="0.2">
      <c r="A456" s="679">
        <v>111</v>
      </c>
      <c r="B456" s="678">
        <v>722.72500000000002</v>
      </c>
      <c r="C456" s="670" t="s">
        <v>352</v>
      </c>
      <c r="D456" s="671"/>
      <c r="E456" s="672"/>
      <c r="F456" s="671"/>
      <c r="G456" s="673"/>
      <c r="H456" s="674"/>
      <c r="I456" s="675"/>
      <c r="J456" s="675"/>
      <c r="K456" s="676"/>
      <c r="L456" s="676"/>
      <c r="M456" s="677"/>
      <c r="N456" s="677"/>
      <c r="O456" s="677">
        <v>114780.65</v>
      </c>
      <c r="P456" s="675"/>
      <c r="Q456" s="677"/>
      <c r="R456" s="675"/>
      <c r="S456" s="675"/>
      <c r="T456" s="675"/>
    </row>
    <row r="457" spans="1:20" ht="16.5" customHeight="1" thickBot="1" x14ac:dyDescent="0.25">
      <c r="A457" s="207" t="s">
        <v>1</v>
      </c>
      <c r="B457" s="208"/>
      <c r="C457" s="209"/>
      <c r="D457" s="202">
        <f>SUM(D397:D454)</f>
        <v>63106</v>
      </c>
      <c r="E457" s="203"/>
      <c r="F457" s="202">
        <f>SUM(F397:F454)</f>
        <v>64502</v>
      </c>
      <c r="G457" s="205" t="e">
        <f>SUM(G397:G454)</f>
        <v>#REF!</v>
      </c>
      <c r="H457" s="210"/>
      <c r="I457" s="205" t="e">
        <f>SUM(I397:I454)</f>
        <v>#REF!</v>
      </c>
      <c r="J457" s="205" t="e">
        <f>J397+J400+J402+J404+J406+J408+J410+J412+J417+J419+J421+J423+J424+J442+J443+#REF!+J398+J447+J448+J450+J399+J452+J402+J401</f>
        <v>#REF!</v>
      </c>
      <c r="K457" s="206"/>
      <c r="L457" s="206"/>
      <c r="M457" s="576">
        <f>M396+M415+M426+M429+M431+M432+M434+M435+M437+M440+M439</f>
        <v>244776.09</v>
      </c>
      <c r="N457" s="576" t="e">
        <f>N397+#REF!+N398+N399+N400+N401+N402</f>
        <v>#REF!</v>
      </c>
      <c r="O457" s="576">
        <f>O396+O415+O426+O429+O431+O432+O434+O435+O440+O439+O455+O456+O437</f>
        <v>580028.84</v>
      </c>
      <c r="P457" s="205">
        <f>P396+P415+P426+P429+P431+P432+P434+P435+P437+P440+P439+P414</f>
        <v>238000</v>
      </c>
      <c r="Q457" s="576">
        <f>Q396+Q415+Q426+Q429+Q432+Q435+Q437+Q440+Q431+Q439+Q434</f>
        <v>326712.70999999996</v>
      </c>
      <c r="R457" s="205">
        <f>R396+R414+R415+R426+R429+R431+R432+R434+R435+R437+R439+R440</f>
        <v>204000</v>
      </c>
      <c r="S457" s="205">
        <f>S396+S414+S426+S415</f>
        <v>45000</v>
      </c>
      <c r="T457" s="205">
        <f>T396+T416+T426+T414</f>
        <v>60000</v>
      </c>
    </row>
    <row r="458" spans="1:20" ht="16.5" hidden="1" customHeight="1" thickTop="1" thickBot="1" x14ac:dyDescent="0.25">
      <c r="A458" s="41"/>
      <c r="B458" s="42"/>
      <c r="C458" s="32"/>
      <c r="D458" s="2"/>
      <c r="E458" s="2" t="s">
        <v>37</v>
      </c>
      <c r="F458" s="2"/>
      <c r="G458" s="2"/>
      <c r="H458" s="2"/>
      <c r="I458" s="7"/>
      <c r="J458" s="12"/>
      <c r="M458" s="577"/>
      <c r="N458" s="577"/>
      <c r="O458" s="577"/>
      <c r="P458" s="12"/>
      <c r="Q458" s="12"/>
      <c r="R458" s="12"/>
      <c r="S458" s="12"/>
      <c r="T458" s="12"/>
    </row>
    <row r="459" spans="1:20" ht="10.8" hidden="1" thickTop="1" x14ac:dyDescent="0.2">
      <c r="B459" s="520"/>
      <c r="C459" s="521"/>
      <c r="D459" s="522"/>
      <c r="E459" s="523"/>
      <c r="F459" s="522"/>
      <c r="G459" s="524"/>
      <c r="H459" s="2"/>
      <c r="I459" s="525"/>
      <c r="J459" s="526"/>
      <c r="M459" s="578"/>
      <c r="N459" s="578"/>
      <c r="O459" s="578"/>
      <c r="P459" s="525"/>
      <c r="Q459" s="525"/>
      <c r="R459" s="525"/>
      <c r="S459" s="525"/>
      <c r="T459" s="525"/>
    </row>
    <row r="460" spans="1:20" ht="12" hidden="1" customHeight="1" x14ac:dyDescent="0.25">
      <c r="A460" s="90"/>
      <c r="B460" s="16"/>
      <c r="C460" s="91"/>
      <c r="D460" s="92"/>
      <c r="E460" s="93"/>
      <c r="F460" s="92"/>
      <c r="G460" s="92"/>
      <c r="H460" s="9"/>
      <c r="I460" s="125"/>
      <c r="J460" s="126"/>
      <c r="M460" s="579"/>
      <c r="N460" s="579"/>
      <c r="O460" s="579"/>
      <c r="P460" s="126"/>
      <c r="Q460" s="126"/>
      <c r="R460" s="126"/>
      <c r="S460" s="126"/>
      <c r="T460" s="126"/>
    </row>
    <row r="461" spans="1:20" ht="12.6" hidden="1" thickBot="1" x14ac:dyDescent="0.3">
      <c r="A461" s="90"/>
      <c r="B461" s="16"/>
      <c r="C461" s="152"/>
      <c r="D461" s="94"/>
      <c r="E461" s="95"/>
      <c r="F461" s="94"/>
      <c r="G461" s="20"/>
      <c r="H461" s="9"/>
      <c r="I461" s="126"/>
      <c r="J461" s="126"/>
      <c r="M461" s="579"/>
      <c r="N461" s="579"/>
      <c r="O461" s="579"/>
      <c r="P461" s="126"/>
      <c r="Q461" s="126"/>
      <c r="R461" s="126"/>
      <c r="S461" s="126"/>
      <c r="T461" s="126"/>
    </row>
    <row r="462" spans="1:20" ht="12" hidden="1" thickTop="1" x14ac:dyDescent="0.2">
      <c r="A462" s="15"/>
      <c r="B462" s="534"/>
      <c r="C462" s="152"/>
      <c r="D462" s="20"/>
      <c r="E462" s="2"/>
      <c r="F462" s="94"/>
      <c r="G462" s="46"/>
      <c r="H462" s="9"/>
      <c r="I462" s="4"/>
      <c r="J462" s="4"/>
      <c r="M462" s="549"/>
      <c r="N462" s="549"/>
      <c r="O462" s="549"/>
      <c r="P462" s="4"/>
      <c r="Q462" s="4"/>
      <c r="R462" s="4"/>
      <c r="S462" s="4"/>
      <c r="T462" s="4"/>
    </row>
    <row r="463" spans="1:20" ht="11.4" hidden="1" x14ac:dyDescent="0.2">
      <c r="A463" s="15"/>
      <c r="B463" s="19"/>
      <c r="C463" s="152"/>
      <c r="D463" s="20"/>
      <c r="E463" s="2"/>
      <c r="F463" s="94"/>
      <c r="G463" s="46"/>
      <c r="H463" s="9"/>
      <c r="I463" s="4"/>
      <c r="J463" s="4"/>
      <c r="M463" s="549"/>
      <c r="N463" s="549"/>
      <c r="O463" s="549"/>
      <c r="P463" s="4"/>
      <c r="Q463" s="4"/>
      <c r="R463" s="4"/>
      <c r="S463" s="4"/>
      <c r="T463" s="4"/>
    </row>
    <row r="464" spans="1:20" ht="16.5" hidden="1" customHeight="1" thickBot="1" x14ac:dyDescent="0.25">
      <c r="A464" s="527"/>
      <c r="B464" s="528"/>
      <c r="C464" s="529"/>
      <c r="D464" s="530"/>
      <c r="E464" s="531"/>
      <c r="F464" s="530"/>
      <c r="G464" s="530"/>
      <c r="H464" s="532"/>
      <c r="I464" s="533"/>
      <c r="J464" s="533"/>
      <c r="M464" s="580"/>
      <c r="N464" s="580"/>
      <c r="O464" s="580"/>
      <c r="P464" s="533"/>
      <c r="Q464" s="533"/>
      <c r="R464" s="533"/>
      <c r="S464" s="533"/>
      <c r="T464" s="533"/>
    </row>
    <row r="465" spans="1:198" ht="24.75" customHeight="1" thickTop="1" thickBot="1" x14ac:dyDescent="0.25">
      <c r="A465" s="342"/>
      <c r="B465" s="42"/>
      <c r="C465" s="343"/>
      <c r="D465" s="344"/>
      <c r="E465" s="344"/>
      <c r="F465" s="344"/>
      <c r="G465" s="344"/>
      <c r="H465" s="9"/>
      <c r="I465" s="344"/>
      <c r="J465" s="344"/>
      <c r="M465" s="581"/>
      <c r="N465" s="581"/>
      <c r="O465" s="581"/>
      <c r="P465" s="344"/>
      <c r="Q465" s="344"/>
      <c r="R465" s="344"/>
      <c r="S465" s="344"/>
      <c r="T465" s="344"/>
    </row>
    <row r="466" spans="1:198" s="166" customFormat="1" ht="35.25" customHeight="1" thickBot="1" x14ac:dyDescent="0.25">
      <c r="A466" s="391" t="s">
        <v>199</v>
      </c>
      <c r="B466" s="392"/>
      <c r="C466" s="393"/>
      <c r="D466" s="394"/>
      <c r="E466" s="394"/>
      <c r="F466" s="394"/>
      <c r="G466" s="394"/>
      <c r="H466" s="395"/>
      <c r="I466" s="394"/>
      <c r="J466" s="396">
        <v>2008</v>
      </c>
      <c r="K466" s="397"/>
      <c r="L466" s="397"/>
      <c r="M466" s="582" t="s">
        <v>315</v>
      </c>
      <c r="N466" s="582">
        <v>2009</v>
      </c>
      <c r="O466" s="582" t="s">
        <v>340</v>
      </c>
      <c r="P466" s="398" t="s">
        <v>341</v>
      </c>
      <c r="Q466" s="398" t="s">
        <v>342</v>
      </c>
      <c r="R466" s="398">
        <v>2021</v>
      </c>
      <c r="S466" s="398">
        <v>2022</v>
      </c>
      <c r="T466" s="399">
        <v>2023</v>
      </c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  <c r="CQ466" s="14"/>
      <c r="CR466" s="14"/>
      <c r="CS466" s="14"/>
      <c r="CT466" s="14"/>
      <c r="CU466" s="14"/>
      <c r="CV466" s="14"/>
      <c r="CW466" s="14"/>
      <c r="CX466" s="14"/>
      <c r="CY466" s="14"/>
      <c r="CZ466" s="14"/>
      <c r="DA466" s="14"/>
      <c r="DB466" s="14"/>
      <c r="DC466" s="14"/>
      <c r="DD466" s="14"/>
      <c r="DE466" s="14"/>
      <c r="DF466" s="14"/>
      <c r="DG466" s="14"/>
      <c r="DH466" s="14"/>
      <c r="DI466" s="14"/>
      <c r="DJ466" s="14"/>
      <c r="DK466" s="14"/>
      <c r="DL466" s="14"/>
      <c r="DM466" s="14"/>
      <c r="DN466" s="14"/>
      <c r="DO466" s="14"/>
      <c r="DP466" s="14"/>
      <c r="DQ466" s="14"/>
      <c r="DR466" s="14"/>
      <c r="DS466" s="14"/>
      <c r="DT466" s="14"/>
      <c r="DU466" s="14"/>
      <c r="DV466" s="14"/>
      <c r="DW466" s="14"/>
      <c r="DX466" s="14"/>
      <c r="DY466" s="14"/>
      <c r="DZ466" s="14"/>
      <c r="EA466" s="14"/>
      <c r="EB466" s="14"/>
      <c r="EC466" s="14"/>
      <c r="ED466" s="14"/>
      <c r="EE466" s="14"/>
      <c r="EF466" s="14"/>
      <c r="EG466" s="14"/>
      <c r="EH466" s="14"/>
      <c r="EI466" s="14"/>
      <c r="EJ466" s="14"/>
      <c r="EK466" s="14"/>
      <c r="EL466" s="14"/>
      <c r="EM466" s="14"/>
      <c r="EN466" s="14"/>
      <c r="EO466" s="14"/>
      <c r="EP466" s="14"/>
      <c r="EQ466" s="14"/>
      <c r="ER466" s="14"/>
      <c r="ES466" s="14"/>
      <c r="ET466" s="14"/>
      <c r="EU466" s="14"/>
      <c r="EV466" s="14"/>
      <c r="EW466" s="14"/>
      <c r="EX466" s="14"/>
      <c r="EY466" s="14"/>
      <c r="EZ466" s="14"/>
      <c r="FA466" s="14"/>
      <c r="FB466" s="14"/>
      <c r="FC466" s="14"/>
      <c r="FD466" s="14"/>
      <c r="FE466" s="14"/>
      <c r="FF466" s="14"/>
      <c r="FG466" s="14"/>
      <c r="FH466" s="14"/>
      <c r="FI466" s="14"/>
      <c r="FJ466" s="14"/>
      <c r="FK466" s="14"/>
      <c r="FL466" s="14"/>
      <c r="FM466" s="14"/>
      <c r="FN466" s="14"/>
      <c r="FO466" s="14"/>
      <c r="FP466" s="14"/>
      <c r="FQ466" s="14"/>
      <c r="FR466" s="14"/>
      <c r="FS466" s="14"/>
      <c r="FT466" s="14"/>
      <c r="FU466" s="14"/>
      <c r="FV466" s="14"/>
      <c r="FW466" s="14"/>
      <c r="FX466" s="14"/>
      <c r="FY466" s="14"/>
      <c r="FZ466" s="14"/>
      <c r="GA466" s="14"/>
      <c r="GB466" s="14"/>
      <c r="GC466" s="14"/>
      <c r="GD466" s="14"/>
      <c r="GE466" s="14"/>
      <c r="GF466" s="14"/>
      <c r="GG466" s="14"/>
      <c r="GH466" s="14"/>
      <c r="GI466" s="14"/>
      <c r="GJ466" s="14"/>
      <c r="GK466" s="14"/>
      <c r="GL466" s="14"/>
      <c r="GM466" s="14"/>
      <c r="GN466" s="14"/>
      <c r="GO466" s="14"/>
      <c r="GP466" s="14"/>
    </row>
    <row r="467" spans="1:198" ht="16.5" customHeight="1" x14ac:dyDescent="0.2">
      <c r="A467" s="663">
        <v>44013</v>
      </c>
      <c r="B467" s="386">
        <v>821007</v>
      </c>
      <c r="C467" s="387" t="s">
        <v>338</v>
      </c>
      <c r="D467" s="388"/>
      <c r="E467" s="388"/>
      <c r="F467" s="388"/>
      <c r="G467" s="388"/>
      <c r="H467" s="389"/>
      <c r="I467" s="388"/>
      <c r="J467" s="388"/>
      <c r="K467" s="385"/>
      <c r="L467" s="385"/>
      <c r="M467" s="583"/>
      <c r="N467" s="583">
        <v>880</v>
      </c>
      <c r="O467" s="583"/>
      <c r="P467" s="390">
        <v>4097</v>
      </c>
      <c r="Q467" s="390"/>
      <c r="R467" s="390">
        <v>4097</v>
      </c>
      <c r="S467" s="390"/>
      <c r="T467" s="390"/>
    </row>
    <row r="468" spans="1:198" ht="16.5" customHeight="1" x14ac:dyDescent="0.2">
      <c r="A468" s="385"/>
      <c r="B468" s="386">
        <v>819002</v>
      </c>
      <c r="C468" s="387" t="s">
        <v>337</v>
      </c>
      <c r="D468" s="388"/>
      <c r="E468" s="388"/>
      <c r="F468" s="388"/>
      <c r="G468" s="388"/>
      <c r="H468" s="389"/>
      <c r="I468" s="388"/>
      <c r="J468" s="388"/>
      <c r="K468" s="385"/>
      <c r="L468" s="385"/>
      <c r="M468" s="583">
        <v>15006</v>
      </c>
      <c r="N468" s="583"/>
      <c r="O468" s="583">
        <v>0</v>
      </c>
      <c r="P468" s="390">
        <v>0</v>
      </c>
      <c r="Q468" s="390">
        <v>0</v>
      </c>
      <c r="R468" s="390">
        <v>0</v>
      </c>
      <c r="S468" s="390">
        <v>0</v>
      </c>
      <c r="T468" s="390">
        <v>0</v>
      </c>
    </row>
    <row r="469" spans="1:198" ht="16.5" customHeight="1" x14ac:dyDescent="0.2">
      <c r="A469" s="348"/>
      <c r="B469" s="352">
        <v>821004</v>
      </c>
      <c r="C469" s="353" t="s">
        <v>275</v>
      </c>
      <c r="D469" s="349"/>
      <c r="E469" s="349"/>
      <c r="F469" s="349"/>
      <c r="G469" s="349"/>
      <c r="H469" s="350"/>
      <c r="I469" s="349"/>
      <c r="J469" s="349"/>
      <c r="K469" s="348"/>
      <c r="L469" s="348"/>
      <c r="M469" s="584"/>
      <c r="N469" s="585"/>
      <c r="O469" s="585"/>
      <c r="P469" s="656">
        <v>100000</v>
      </c>
      <c r="Q469" s="584">
        <v>69021.56</v>
      </c>
      <c r="R469" s="86">
        <v>149400</v>
      </c>
      <c r="S469" s="86">
        <v>0</v>
      </c>
      <c r="T469" s="86">
        <v>0</v>
      </c>
    </row>
    <row r="470" spans="1:198" ht="16.5" customHeight="1" x14ac:dyDescent="0.2">
      <c r="A470" s="348"/>
      <c r="B470" s="368" t="s">
        <v>199</v>
      </c>
      <c r="C470" s="353"/>
      <c r="D470" s="349"/>
      <c r="E470" s="349"/>
      <c r="F470" s="349"/>
      <c r="G470" s="349"/>
      <c r="H470" s="350"/>
      <c r="I470" s="349"/>
      <c r="J470" s="349"/>
      <c r="K470" s="348"/>
      <c r="L470" s="348"/>
      <c r="M470" s="585">
        <f>M468+M469</f>
        <v>15006</v>
      </c>
      <c r="N470" s="585"/>
      <c r="O470" s="585">
        <f>O468+O469</f>
        <v>0</v>
      </c>
      <c r="P470" s="349">
        <f>P467+P469</f>
        <v>104097</v>
      </c>
      <c r="Q470" s="585">
        <v>69021.56</v>
      </c>
      <c r="R470" s="349">
        <v>153497</v>
      </c>
      <c r="S470" s="349">
        <v>0</v>
      </c>
      <c r="T470" s="349">
        <v>0</v>
      </c>
    </row>
    <row r="471" spans="1:198" ht="16.5" customHeight="1" x14ac:dyDescent="0.2">
      <c r="A471" s="342"/>
      <c r="B471" s="42"/>
      <c r="C471" s="32"/>
      <c r="D471" s="344"/>
      <c r="E471" s="344"/>
      <c r="F471" s="344"/>
      <c r="G471" s="344"/>
      <c r="H471" s="351"/>
      <c r="I471" s="344"/>
      <c r="J471" s="344"/>
      <c r="K471" s="342"/>
      <c r="L471" s="342"/>
      <c r="M471" s="586"/>
      <c r="N471" s="581"/>
      <c r="O471" s="581"/>
      <c r="P471" s="344"/>
      <c r="Q471" s="354"/>
      <c r="R471" s="354"/>
      <c r="S471" s="354"/>
      <c r="T471" s="354"/>
    </row>
    <row r="472" spans="1:198" ht="12" customHeight="1" thickBot="1" x14ac:dyDescent="0.3">
      <c r="A472" s="360"/>
      <c r="B472" s="361"/>
      <c r="C472" s="362"/>
      <c r="D472" s="363"/>
      <c r="E472" s="364"/>
      <c r="F472" s="363"/>
      <c r="G472" s="364"/>
      <c r="H472" s="365"/>
      <c r="I472" s="363"/>
      <c r="J472" s="363"/>
      <c r="K472" s="364"/>
      <c r="L472" s="364"/>
      <c r="M472" s="587"/>
      <c r="N472" s="588"/>
      <c r="O472" s="587"/>
      <c r="P472" s="367"/>
      <c r="Q472" s="366"/>
      <c r="R472" s="366"/>
      <c r="S472" s="366"/>
      <c r="T472" s="366"/>
    </row>
    <row r="473" spans="1:198" ht="36.75" customHeight="1" x14ac:dyDescent="0.3">
      <c r="A473" s="355" t="s">
        <v>29</v>
      </c>
      <c r="B473" s="356"/>
      <c r="C473" s="357"/>
      <c r="D473" s="358" t="s">
        <v>41</v>
      </c>
      <c r="E473" s="173"/>
      <c r="F473" s="358" t="s">
        <v>42</v>
      </c>
      <c r="G473" s="359" t="s">
        <v>40</v>
      </c>
      <c r="H473" s="173"/>
      <c r="I473" s="158" t="s">
        <v>79</v>
      </c>
      <c r="J473" s="165">
        <v>2008</v>
      </c>
      <c r="K473" s="166"/>
      <c r="L473" s="166"/>
      <c r="M473" s="589" t="s">
        <v>315</v>
      </c>
      <c r="N473" s="589">
        <v>2009</v>
      </c>
      <c r="O473" s="589" t="s">
        <v>340</v>
      </c>
      <c r="P473" s="158" t="s">
        <v>341</v>
      </c>
      <c r="Q473" s="158" t="s">
        <v>354</v>
      </c>
      <c r="R473" s="158">
        <v>2021</v>
      </c>
      <c r="S473" s="158">
        <v>2022</v>
      </c>
      <c r="T473" s="158">
        <v>2023</v>
      </c>
    </row>
    <row r="474" spans="1:198" ht="13.95" customHeight="1" x14ac:dyDescent="0.25">
      <c r="A474" s="174" t="s">
        <v>26</v>
      </c>
      <c r="B474" s="175"/>
      <c r="C474" s="176"/>
      <c r="D474" s="146" t="e">
        <f>+D392</f>
        <v>#REF!</v>
      </c>
      <c r="E474" s="147"/>
      <c r="F474" s="146" t="e">
        <f>+F392</f>
        <v>#REF!</v>
      </c>
      <c r="G474" s="146" t="e">
        <f>+G392</f>
        <v>#REF!</v>
      </c>
      <c r="H474" s="148" t="e">
        <f>+G474/D474</f>
        <v>#REF!</v>
      </c>
      <c r="I474" s="149" t="e">
        <f>+I392</f>
        <v>#REF!</v>
      </c>
      <c r="J474" s="149" t="e">
        <f>J392</f>
        <v>#REF!</v>
      </c>
      <c r="M474" s="579">
        <f t="shared" ref="M474:T474" si="61">M392</f>
        <v>940020.72000000009</v>
      </c>
      <c r="N474" s="590" t="e">
        <f t="shared" si="61"/>
        <v>#REF!</v>
      </c>
      <c r="O474" s="579">
        <f t="shared" si="61"/>
        <v>1199561.1900000002</v>
      </c>
      <c r="P474" s="126">
        <f>P392</f>
        <v>1161176</v>
      </c>
      <c r="Q474" s="549">
        <f t="shared" si="61"/>
        <v>1233125.55</v>
      </c>
      <c r="R474" s="126">
        <f t="shared" si="61"/>
        <v>1204393</v>
      </c>
      <c r="S474" s="126">
        <f t="shared" si="61"/>
        <v>1091208</v>
      </c>
      <c r="T474" s="4">
        <f t="shared" si="61"/>
        <v>1051504</v>
      </c>
    </row>
    <row r="475" spans="1:198" ht="13.95" customHeight="1" x14ac:dyDescent="0.25">
      <c r="A475" s="174" t="s">
        <v>27</v>
      </c>
      <c r="B475" s="175"/>
      <c r="C475" s="176"/>
      <c r="D475" s="146" t="e">
        <f>+#REF!</f>
        <v>#REF!</v>
      </c>
      <c r="E475" s="147"/>
      <c r="F475" s="146" t="e">
        <f>+#REF!</f>
        <v>#REF!</v>
      </c>
      <c r="G475" s="146" t="e">
        <f>+#REF!</f>
        <v>#REF!</v>
      </c>
      <c r="H475" s="148" t="e">
        <f>+G475/D475</f>
        <v>#REF!</v>
      </c>
      <c r="I475" s="149" t="e">
        <f>+#REF!</f>
        <v>#REF!</v>
      </c>
      <c r="J475" s="149" t="e">
        <f>J457</f>
        <v>#REF!</v>
      </c>
      <c r="M475" s="579">
        <f>M457</f>
        <v>244776.09</v>
      </c>
      <c r="N475" s="590" t="e">
        <f t="shared" ref="N475:S475" si="62">N457</f>
        <v>#REF!</v>
      </c>
      <c r="O475" s="549">
        <f t="shared" si="62"/>
        <v>580028.84</v>
      </c>
      <c r="P475" s="4">
        <f>P457</f>
        <v>238000</v>
      </c>
      <c r="Q475" s="549">
        <f>Q457</f>
        <v>326712.70999999996</v>
      </c>
      <c r="R475" s="149">
        <f>R457</f>
        <v>204000</v>
      </c>
      <c r="S475" s="149">
        <f t="shared" si="62"/>
        <v>45000</v>
      </c>
      <c r="T475" s="149">
        <f>T457</f>
        <v>60000</v>
      </c>
    </row>
    <row r="476" spans="1:198" ht="13.95" hidden="1" customHeight="1" x14ac:dyDescent="0.25">
      <c r="A476" s="174"/>
      <c r="B476" s="175"/>
      <c r="C476" s="176"/>
      <c r="D476" s="146"/>
      <c r="E476" s="147"/>
      <c r="F476" s="146"/>
      <c r="G476" s="146"/>
      <c r="H476" s="148"/>
      <c r="I476" s="149"/>
      <c r="J476" s="149"/>
      <c r="M476" s="590"/>
      <c r="N476" s="590"/>
      <c r="O476" s="590"/>
      <c r="P476" s="149"/>
      <c r="Q476" s="590"/>
      <c r="R476" s="149"/>
      <c r="S476" s="149"/>
      <c r="T476" s="149"/>
    </row>
    <row r="477" spans="1:198" ht="13.95" hidden="1" customHeight="1" x14ac:dyDescent="0.25">
      <c r="A477" s="174"/>
      <c r="B477" s="175"/>
      <c r="C477" s="176"/>
      <c r="D477" s="146"/>
      <c r="E477" s="147"/>
      <c r="F477" s="146"/>
      <c r="G477" s="146"/>
      <c r="H477" s="148"/>
      <c r="I477" s="149"/>
      <c r="J477" s="149"/>
      <c r="M477" s="590"/>
      <c r="N477" s="590"/>
      <c r="O477" s="590"/>
      <c r="P477" s="149"/>
      <c r="Q477" s="590"/>
      <c r="R477" s="149"/>
      <c r="S477" s="149"/>
      <c r="T477" s="149"/>
    </row>
    <row r="478" spans="1:198" ht="13.95" customHeight="1" x14ac:dyDescent="0.25">
      <c r="A478" s="174" t="s">
        <v>199</v>
      </c>
      <c r="B478" s="175"/>
      <c r="C478" s="176"/>
      <c r="D478" s="146"/>
      <c r="E478" s="147"/>
      <c r="F478" s="146"/>
      <c r="G478" s="146"/>
      <c r="H478" s="148"/>
      <c r="I478" s="149"/>
      <c r="J478" s="149"/>
      <c r="M478" s="549">
        <f>M470</f>
        <v>15006</v>
      </c>
      <c r="N478" s="590">
        <f>N467</f>
        <v>880</v>
      </c>
      <c r="O478" s="579">
        <f>O470</f>
        <v>0</v>
      </c>
      <c r="P478" s="149">
        <f>P470</f>
        <v>104097</v>
      </c>
      <c r="Q478" s="662">
        <v>69021.56</v>
      </c>
      <c r="R478" s="149">
        <f>R470</f>
        <v>153497</v>
      </c>
      <c r="S478" s="149">
        <f>S470</f>
        <v>0</v>
      </c>
      <c r="T478" s="149">
        <v>60000</v>
      </c>
    </row>
    <row r="479" spans="1:198" ht="13.95" customHeight="1" x14ac:dyDescent="0.25">
      <c r="A479" s="195" t="s">
        <v>131</v>
      </c>
      <c r="B479" s="196"/>
      <c r="C479" s="197"/>
      <c r="D479" s="198" t="e">
        <f>+D475+D474+D477</f>
        <v>#REF!</v>
      </c>
      <c r="E479" s="199">
        <f>+E475+E474+E477</f>
        <v>0</v>
      </c>
      <c r="F479" s="198" t="e">
        <f>+F475+F474+F477</f>
        <v>#REF!</v>
      </c>
      <c r="G479" s="198" t="e">
        <f>+G475+G474+G477</f>
        <v>#REF!</v>
      </c>
      <c r="H479" s="200" t="e">
        <f>+G479/D479</f>
        <v>#REF!</v>
      </c>
      <c r="I479" s="201" t="e">
        <f>+I475+I474+I477</f>
        <v>#REF!</v>
      </c>
      <c r="J479" s="201" t="e">
        <f>J474+J475+J477</f>
        <v>#REF!</v>
      </c>
      <c r="K479" s="193"/>
      <c r="L479" s="193"/>
      <c r="M479" s="604">
        <f t="shared" ref="M479:S479" si="63">M474+M475+M477+M478</f>
        <v>1199802.81</v>
      </c>
      <c r="N479" s="592" t="e">
        <f t="shared" si="63"/>
        <v>#REF!</v>
      </c>
      <c r="O479" s="591">
        <f t="shared" si="63"/>
        <v>1779590.0300000003</v>
      </c>
      <c r="P479" s="610">
        <f t="shared" si="63"/>
        <v>1503273</v>
      </c>
      <c r="Q479" s="591">
        <f t="shared" si="63"/>
        <v>1628859.82</v>
      </c>
      <c r="R479" s="610">
        <f t="shared" si="63"/>
        <v>1561890</v>
      </c>
      <c r="S479" s="659">
        <f t="shared" si="63"/>
        <v>1136208</v>
      </c>
      <c r="T479" s="610">
        <f>T474+T475+T478</f>
        <v>1171504</v>
      </c>
    </row>
    <row r="480" spans="1:198" ht="13.95" customHeight="1" x14ac:dyDescent="0.25">
      <c r="A480" s="312"/>
      <c r="B480" s="313"/>
      <c r="C480" s="314"/>
      <c r="D480" s="315"/>
      <c r="E480" s="316"/>
      <c r="F480" s="315"/>
      <c r="G480" s="317"/>
      <c r="H480" s="148"/>
      <c r="I480" s="318"/>
      <c r="J480" s="318"/>
      <c r="M480" s="593"/>
      <c r="N480" s="593"/>
      <c r="O480" s="593"/>
      <c r="P480" s="318"/>
      <c r="Q480" s="593"/>
      <c r="R480" s="318"/>
      <c r="S480" s="318"/>
      <c r="T480" s="318"/>
    </row>
    <row r="481" spans="1:20" ht="13.95" customHeight="1" x14ac:dyDescent="0.25">
      <c r="A481" s="312"/>
      <c r="B481" s="313"/>
      <c r="C481" s="314"/>
      <c r="D481" s="315"/>
      <c r="E481" s="316"/>
      <c r="F481" s="315"/>
      <c r="G481" s="317"/>
      <c r="H481" s="148"/>
      <c r="I481" s="318"/>
      <c r="J481" s="318"/>
      <c r="M481" s="593"/>
      <c r="N481" s="593"/>
      <c r="O481" s="593"/>
      <c r="P481" s="318"/>
      <c r="Q481" s="593"/>
      <c r="R481" s="318"/>
      <c r="S481" s="318"/>
      <c r="T481" s="318"/>
    </row>
    <row r="482" spans="1:20" ht="12.75" customHeight="1" x14ac:dyDescent="0.2">
      <c r="A482" s="41"/>
      <c r="B482" s="42"/>
      <c r="C482" s="32"/>
      <c r="D482" s="33"/>
      <c r="E482" s="2"/>
      <c r="F482" s="33"/>
      <c r="G482" s="46"/>
      <c r="H482" s="98"/>
      <c r="I482" s="5"/>
      <c r="J482" s="5"/>
      <c r="M482" s="566"/>
      <c r="N482" s="566"/>
      <c r="O482" s="566"/>
      <c r="P482" s="5"/>
      <c r="Q482" s="566"/>
      <c r="R482" s="5"/>
      <c r="S482" s="5"/>
      <c r="T482" s="5"/>
    </row>
    <row r="483" spans="1:20" ht="13.8" x14ac:dyDescent="0.25">
      <c r="A483" s="174" t="s">
        <v>24</v>
      </c>
      <c r="B483" s="175"/>
      <c r="C483" s="176"/>
      <c r="D483" s="99" t="e">
        <f>+#REF!</f>
        <v>#REF!</v>
      </c>
      <c r="E483" s="100" t="e">
        <f>+#REF!</f>
        <v>#REF!</v>
      </c>
      <c r="F483" s="99" t="e">
        <f>+#REF!</f>
        <v>#REF!</v>
      </c>
      <c r="G483" s="99" t="e">
        <f>+#REF!</f>
        <v>#REF!</v>
      </c>
      <c r="H483" s="100" t="e">
        <f>+#REF!</f>
        <v>#REF!</v>
      </c>
      <c r="I483" s="127" t="e">
        <f>+#REF!</f>
        <v>#REF!</v>
      </c>
      <c r="J483" s="150">
        <v>20668</v>
      </c>
      <c r="L483" s="53" t="e">
        <f>+J483-J474+1400</f>
        <v>#REF!</v>
      </c>
      <c r="M483" s="680">
        <v>1022717.87</v>
      </c>
      <c r="N483" s="605">
        <v>19966</v>
      </c>
      <c r="O483" s="605">
        <v>1211358.8700000001</v>
      </c>
      <c r="P483" s="657">
        <v>1169986</v>
      </c>
      <c r="Q483" s="605">
        <v>1276950.73</v>
      </c>
      <c r="R483" s="658">
        <v>1251343</v>
      </c>
      <c r="S483" s="658">
        <v>1206154</v>
      </c>
      <c r="T483" s="657">
        <v>1206155</v>
      </c>
    </row>
    <row r="484" spans="1:20" ht="13.8" x14ac:dyDescent="0.25">
      <c r="A484" s="174" t="s">
        <v>23</v>
      </c>
      <c r="B484" s="175"/>
      <c r="C484" s="176"/>
      <c r="D484" s="99" t="e">
        <f>+#REF!</f>
        <v>#REF!</v>
      </c>
      <c r="E484" s="100" t="e">
        <f>+#REF!</f>
        <v>#REF!</v>
      </c>
      <c r="F484" s="99" t="e">
        <f>+#REF!</f>
        <v>#REF!</v>
      </c>
      <c r="G484" s="99" t="e">
        <f>+#REF!</f>
        <v>#REF!</v>
      </c>
      <c r="H484" s="100" t="e">
        <f>+#REF!</f>
        <v>#REF!</v>
      </c>
      <c r="I484" s="127" t="e">
        <f>+#REF!</f>
        <v>#REF!</v>
      </c>
      <c r="J484" s="150">
        <v>55</v>
      </c>
      <c r="L484" s="53" t="e">
        <f>+J484-J475</f>
        <v>#REF!</v>
      </c>
      <c r="M484" s="605">
        <v>217614</v>
      </c>
      <c r="N484" s="605">
        <v>13350</v>
      </c>
      <c r="O484" s="605">
        <v>405925.09</v>
      </c>
      <c r="P484" s="657">
        <v>3000</v>
      </c>
      <c r="Q484" s="605">
        <v>217542.26</v>
      </c>
      <c r="R484" s="150">
        <v>138000</v>
      </c>
      <c r="S484" s="150">
        <v>5000</v>
      </c>
      <c r="T484" s="150">
        <v>1000</v>
      </c>
    </row>
    <row r="485" spans="1:20" ht="13.8" x14ac:dyDescent="0.25">
      <c r="A485" s="177" t="s">
        <v>129</v>
      </c>
      <c r="B485" s="178"/>
      <c r="C485" s="179"/>
      <c r="D485" s="101" t="e">
        <f>+#REF!</f>
        <v>#REF!</v>
      </c>
      <c r="E485" s="102" t="e">
        <f>+#REF!</f>
        <v>#REF!</v>
      </c>
      <c r="F485" s="101" t="e">
        <f>+#REF!</f>
        <v>#REF!</v>
      </c>
      <c r="G485" s="99" t="e">
        <f>+#REF!</f>
        <v>#REF!</v>
      </c>
      <c r="H485" s="100" t="e">
        <f>+#REF!</f>
        <v>#REF!</v>
      </c>
      <c r="I485" s="127" t="e">
        <f>+#REF!</f>
        <v>#REF!</v>
      </c>
      <c r="J485" s="150">
        <v>10000</v>
      </c>
      <c r="L485" s="53">
        <f>+J485-J477</f>
        <v>10000</v>
      </c>
      <c r="M485" s="605">
        <v>25897.54</v>
      </c>
      <c r="N485" s="605">
        <v>1700</v>
      </c>
      <c r="O485" s="605">
        <v>168956.54</v>
      </c>
      <c r="P485" s="657">
        <v>296265</v>
      </c>
      <c r="Q485" s="605">
        <v>254302.03</v>
      </c>
      <c r="R485" s="150">
        <v>154500</v>
      </c>
      <c r="S485" s="150">
        <v>12122</v>
      </c>
      <c r="T485" s="150">
        <v>9834</v>
      </c>
    </row>
    <row r="486" spans="1:20" ht="13.8" x14ac:dyDescent="0.25">
      <c r="A486" s="177" t="s">
        <v>276</v>
      </c>
      <c r="B486" s="178"/>
      <c r="C486" s="179"/>
      <c r="D486" s="101"/>
      <c r="E486" s="102"/>
      <c r="F486" s="101"/>
      <c r="G486" s="99" t="e">
        <f>+#REF!</f>
        <v>#REF!</v>
      </c>
      <c r="H486" s="100" t="e">
        <f>+#REF!</f>
        <v>#REF!</v>
      </c>
      <c r="I486" s="127" t="e">
        <f>+#REF!</f>
        <v>#REF!</v>
      </c>
      <c r="J486" s="150">
        <v>200</v>
      </c>
      <c r="M486" s="605">
        <v>35696.01</v>
      </c>
      <c r="N486" s="605">
        <v>150</v>
      </c>
      <c r="O486" s="605">
        <v>25044.02</v>
      </c>
      <c r="P486" s="657">
        <v>40000</v>
      </c>
      <c r="Q486" s="661">
        <v>17000</v>
      </c>
      <c r="R486" s="150">
        <v>25500</v>
      </c>
      <c r="S486" s="150">
        <v>35900</v>
      </c>
      <c r="T486" s="150">
        <v>36000</v>
      </c>
    </row>
    <row r="487" spans="1:20" ht="14.4" thickBot="1" x14ac:dyDescent="0.3">
      <c r="A487" s="194" t="s">
        <v>25</v>
      </c>
      <c r="B487" s="187"/>
      <c r="C487" s="188"/>
      <c r="D487" s="189" t="e">
        <f>+D483+D484+D485</f>
        <v>#REF!</v>
      </c>
      <c r="E487" s="190" t="e">
        <f>+E483+E484+E485</f>
        <v>#REF!</v>
      </c>
      <c r="F487" s="189" t="e">
        <f>+F483+F484+F485</f>
        <v>#REF!</v>
      </c>
      <c r="G487" s="191" t="e">
        <f>+G483+G484+G485+G486</f>
        <v>#REF!</v>
      </c>
      <c r="H487" s="192" t="e">
        <f>+G487/D487</f>
        <v>#REF!</v>
      </c>
      <c r="I487" s="191" t="e">
        <f>+I483+I484+I485+I486</f>
        <v>#REF!</v>
      </c>
      <c r="J487" s="159">
        <f>J483+J484+J485+J486</f>
        <v>30923</v>
      </c>
      <c r="K487" s="193"/>
      <c r="L487" s="193"/>
      <c r="M487" s="606">
        <f t="shared" ref="M487:T487" si="64">M483+M484+M485+M486</f>
        <v>1301925.4200000002</v>
      </c>
      <c r="N487" s="594">
        <f t="shared" si="64"/>
        <v>35166</v>
      </c>
      <c r="O487" s="608">
        <f t="shared" si="64"/>
        <v>1811284.5200000003</v>
      </c>
      <c r="P487" s="611">
        <f t="shared" si="64"/>
        <v>1509251</v>
      </c>
      <c r="Q487" s="608">
        <f t="shared" si="64"/>
        <v>1765795.02</v>
      </c>
      <c r="R487" s="611">
        <f t="shared" si="64"/>
        <v>1569343</v>
      </c>
      <c r="S487" s="611">
        <f t="shared" si="64"/>
        <v>1259176</v>
      </c>
      <c r="T487" s="660">
        <f t="shared" si="64"/>
        <v>1252989</v>
      </c>
    </row>
    <row r="488" spans="1:20" ht="16.8" thickTop="1" thickBot="1" x14ac:dyDescent="0.35">
      <c r="A488" s="180" t="s">
        <v>130</v>
      </c>
      <c r="B488" s="181"/>
      <c r="C488" s="182"/>
      <c r="D488" s="183" t="e">
        <f>+D487-D479</f>
        <v>#REF!</v>
      </c>
      <c r="E488" s="183" t="e">
        <f>+E487-E479</f>
        <v>#REF!</v>
      </c>
      <c r="F488" s="183" t="e">
        <f>+F487-F479</f>
        <v>#REF!</v>
      </c>
      <c r="G488" s="183" t="e">
        <f>+G487-G479</f>
        <v>#REF!</v>
      </c>
      <c r="H488" s="184" t="e">
        <f>+G488/D488</f>
        <v>#REF!</v>
      </c>
      <c r="I488" s="185" t="e">
        <f>+I487-I479</f>
        <v>#REF!</v>
      </c>
      <c r="J488" s="185" t="e">
        <f>J487-J479</f>
        <v>#REF!</v>
      </c>
      <c r="K488" s="166"/>
      <c r="L488" s="186" t="e">
        <f>+L483+L484</f>
        <v>#REF!</v>
      </c>
      <c r="M488" s="595">
        <f>M487-M479</f>
        <v>102122.6100000001</v>
      </c>
      <c r="N488" s="596" t="e">
        <f>N487-N479</f>
        <v>#REF!</v>
      </c>
      <c r="O488" s="595">
        <f t="shared" ref="O488:T488" si="65">O487-O479</f>
        <v>31694.489999999991</v>
      </c>
      <c r="P488" s="681">
        <f t="shared" si="65"/>
        <v>5978</v>
      </c>
      <c r="Q488" s="595">
        <f t="shared" si="65"/>
        <v>136935.19999999995</v>
      </c>
      <c r="R488" s="682">
        <f>R487-R479</f>
        <v>7453</v>
      </c>
      <c r="S488" s="185">
        <f t="shared" si="65"/>
        <v>122968</v>
      </c>
      <c r="T488" s="185">
        <f t="shared" si="65"/>
        <v>81485</v>
      </c>
    </row>
    <row r="489" spans="1:20" ht="10.8" hidden="1" thickTop="1" x14ac:dyDescent="0.2"/>
    <row r="490" spans="1:20" ht="13.8" hidden="1" thickTop="1" x14ac:dyDescent="0.25">
      <c r="C490" s="105">
        <f>PMT(3.8%/12,144,10000000,0,0)</f>
        <v>-86584.975452430488</v>
      </c>
      <c r="I490" s="106">
        <f>+C490+I491</f>
        <v>-69444.444444444438</v>
      </c>
    </row>
    <row r="491" spans="1:20" ht="10.8" hidden="1" thickTop="1" x14ac:dyDescent="0.2">
      <c r="B491" s="103" t="s">
        <v>56</v>
      </c>
      <c r="C491" s="107">
        <f>+C490*-144</f>
        <v>12468236.465149991</v>
      </c>
      <c r="G491" s="108">
        <f>+C491-10000000</f>
        <v>2468236.4651499912</v>
      </c>
      <c r="I491" s="14">
        <f>+G491/144</f>
        <v>17140.53100798605</v>
      </c>
    </row>
    <row r="492" spans="1:20" ht="10.8" hidden="1" thickTop="1" x14ac:dyDescent="0.2">
      <c r="B492" s="103" t="s">
        <v>55</v>
      </c>
      <c r="C492" s="109">
        <f>+C490*-12</f>
        <v>1039019.7054291659</v>
      </c>
    </row>
    <row r="493" spans="1:20" ht="10.8" hidden="1" thickTop="1" x14ac:dyDescent="0.2">
      <c r="B493" s="103" t="s">
        <v>57</v>
      </c>
      <c r="C493" s="109">
        <f>+I491</f>
        <v>17140.53100798605</v>
      </c>
    </row>
    <row r="494" spans="1:20" ht="14.25" hidden="1" customHeight="1" x14ac:dyDescent="0.2">
      <c r="B494" s="103" t="s">
        <v>58</v>
      </c>
      <c r="C494" s="109">
        <f>+C493*12</f>
        <v>205686.3720958326</v>
      </c>
    </row>
    <row r="495" spans="1:20" ht="16.5" hidden="1" customHeight="1" x14ac:dyDescent="0.2">
      <c r="B495" s="103" t="s">
        <v>59</v>
      </c>
      <c r="C495" s="109">
        <v>69444.44</v>
      </c>
    </row>
    <row r="496" spans="1:20" ht="11.25" hidden="1" customHeight="1" thickTop="1" x14ac:dyDescent="0.2">
      <c r="B496" s="103" t="s">
        <v>60</v>
      </c>
      <c r="C496" s="109">
        <f>+C495*12</f>
        <v>833333.28</v>
      </c>
    </row>
    <row r="497" spans="1:4" ht="10.8" hidden="1" thickTop="1" x14ac:dyDescent="0.2">
      <c r="B497" s="110"/>
      <c r="C497" s="14"/>
    </row>
    <row r="498" spans="1:4" ht="10.8" hidden="1" thickTop="1" x14ac:dyDescent="0.2">
      <c r="B498" s="111" t="s">
        <v>77</v>
      </c>
      <c r="C498" s="112"/>
    </row>
    <row r="499" spans="1:4" ht="15.6" hidden="1" thickTop="1" x14ac:dyDescent="0.25">
      <c r="B499" s="113" t="s">
        <v>73</v>
      </c>
      <c r="C499" s="114">
        <f>PMT(4%/12,156,15000000,0,0)</f>
        <v>-123467.42335591247</v>
      </c>
    </row>
    <row r="500" spans="1:4" ht="15.6" hidden="1" thickTop="1" x14ac:dyDescent="0.25">
      <c r="B500" s="113" t="s">
        <v>74</v>
      </c>
      <c r="C500" s="115">
        <f>(+C499*12)*-1</f>
        <v>1481609.0802709498</v>
      </c>
    </row>
    <row r="501" spans="1:4" ht="15.6" hidden="1" thickTop="1" x14ac:dyDescent="0.25">
      <c r="B501" s="113" t="s">
        <v>75</v>
      </c>
      <c r="C501" s="115">
        <f>+C500-C502</f>
        <v>231609.08027094975</v>
      </c>
    </row>
    <row r="502" spans="1:4" ht="16.2" hidden="1" thickTop="1" thickBot="1" x14ac:dyDescent="0.3">
      <c r="B502" s="116" t="s">
        <v>76</v>
      </c>
      <c r="C502" s="117">
        <f>+((15000000/144)*12)</f>
        <v>1250000</v>
      </c>
    </row>
    <row r="503" spans="1:4" ht="10.8" thickTop="1" x14ac:dyDescent="0.2">
      <c r="B503" s="14"/>
      <c r="C503" s="14"/>
    </row>
    <row r="504" spans="1:4" x14ac:dyDescent="0.2">
      <c r="B504" s="14"/>
      <c r="C504" s="14"/>
    </row>
    <row r="505" spans="1:4" x14ac:dyDescent="0.2">
      <c r="B505" s="14"/>
      <c r="C505" s="14"/>
    </row>
    <row r="506" spans="1:4" hidden="1" x14ac:dyDescent="0.2">
      <c r="B506" s="14"/>
      <c r="C506" s="14"/>
    </row>
    <row r="507" spans="1:4" x14ac:dyDescent="0.2">
      <c r="B507" s="14"/>
      <c r="C507" s="14"/>
    </row>
    <row r="508" spans="1:4" x14ac:dyDescent="0.2">
      <c r="B508" s="14"/>
      <c r="C508" s="14"/>
    </row>
    <row r="509" spans="1:4" x14ac:dyDescent="0.2">
      <c r="B509" s="14"/>
      <c r="C509" s="14"/>
    </row>
    <row r="510" spans="1:4" x14ac:dyDescent="0.2">
      <c r="B510" s="14"/>
      <c r="C510" s="14"/>
    </row>
    <row r="511" spans="1:4" ht="13.2" hidden="1" x14ac:dyDescent="0.25">
      <c r="A511" s="118"/>
      <c r="B511" s="14"/>
      <c r="C511" s="14"/>
      <c r="D511" s="119"/>
    </row>
    <row r="513" spans="7:7" x14ac:dyDescent="0.2">
      <c r="G513" s="53"/>
    </row>
    <row r="516" spans="7:7" hidden="1" x14ac:dyDescent="0.2"/>
    <row r="521" spans="7:7" hidden="1" x14ac:dyDescent="0.2"/>
    <row r="522" spans="7:7" hidden="1" x14ac:dyDescent="0.2"/>
    <row r="528" spans="7:7" x14ac:dyDescent="0.2">
      <c r="G528" s="53"/>
    </row>
    <row r="531" spans="2:7" hidden="1" x14ac:dyDescent="0.2"/>
    <row r="532" spans="2:7" hidden="1" x14ac:dyDescent="0.2"/>
    <row r="535" spans="2:7" x14ac:dyDescent="0.2">
      <c r="B535" s="14"/>
      <c r="C535" s="14"/>
    </row>
    <row r="536" spans="2:7" x14ac:dyDescent="0.2">
      <c r="B536" s="14"/>
      <c r="C536" s="14"/>
    </row>
    <row r="537" spans="2:7" x14ac:dyDescent="0.2">
      <c r="B537" s="14"/>
      <c r="C537" s="14"/>
    </row>
    <row r="538" spans="2:7" x14ac:dyDescent="0.2">
      <c r="B538" s="14"/>
      <c r="C538" s="14"/>
    </row>
    <row r="539" spans="2:7" x14ac:dyDescent="0.2">
      <c r="B539" s="14"/>
      <c r="C539" s="14"/>
    </row>
    <row r="540" spans="2:7" x14ac:dyDescent="0.2">
      <c r="B540" s="14"/>
      <c r="C540" s="14"/>
    </row>
    <row r="541" spans="2:7" x14ac:dyDescent="0.2">
      <c r="B541" s="14"/>
      <c r="C541" s="14"/>
    </row>
    <row r="542" spans="2:7" x14ac:dyDescent="0.2">
      <c r="B542" s="14"/>
      <c r="C542" s="14"/>
      <c r="G542" s="53"/>
    </row>
    <row r="543" spans="2:7" x14ac:dyDescent="0.2">
      <c r="B543" s="14"/>
      <c r="C543" s="14"/>
      <c r="G543" s="53"/>
    </row>
    <row r="544" spans="2:7" x14ac:dyDescent="0.2">
      <c r="B544" s="14"/>
      <c r="C544" s="14"/>
      <c r="G544" s="53"/>
    </row>
    <row r="545" spans="2:8" hidden="1" x14ac:dyDescent="0.2">
      <c r="B545" s="14"/>
      <c r="C545" s="14"/>
      <c r="G545" s="53"/>
    </row>
    <row r="546" spans="2:8" hidden="1" x14ac:dyDescent="0.2">
      <c r="B546" s="14"/>
      <c r="C546" s="14"/>
    </row>
    <row r="547" spans="2:8" x14ac:dyDescent="0.2">
      <c r="B547" s="14"/>
      <c r="C547" s="14"/>
    </row>
    <row r="548" spans="2:8" x14ac:dyDescent="0.2">
      <c r="B548" s="14"/>
      <c r="C548" s="14"/>
    </row>
    <row r="549" spans="2:8" x14ac:dyDescent="0.2">
      <c r="B549" s="14"/>
      <c r="C549" s="14"/>
    </row>
    <row r="550" spans="2:8" x14ac:dyDescent="0.2">
      <c r="B550" s="14"/>
      <c r="C550" s="14"/>
    </row>
    <row r="551" spans="2:8" x14ac:dyDescent="0.2">
      <c r="B551" s="14"/>
      <c r="C551" s="14"/>
    </row>
    <row r="552" spans="2:8" x14ac:dyDescent="0.2">
      <c r="B552" s="14"/>
      <c r="C552" s="14"/>
    </row>
    <row r="553" spans="2:8" x14ac:dyDescent="0.2">
      <c r="B553" s="14"/>
      <c r="C553" s="14"/>
    </row>
    <row r="554" spans="2:8" x14ac:dyDescent="0.2">
      <c r="B554" s="14"/>
      <c r="C554" s="14"/>
    </row>
    <row r="555" spans="2:8" x14ac:dyDescent="0.2">
      <c r="B555" s="14"/>
      <c r="C555" s="14"/>
    </row>
    <row r="556" spans="2:8" x14ac:dyDescent="0.2">
      <c r="B556" s="14"/>
      <c r="C556" s="14"/>
    </row>
    <row r="557" spans="2:8" x14ac:dyDescent="0.2">
      <c r="B557" s="14"/>
      <c r="C557" s="14"/>
    </row>
    <row r="558" spans="2:8" x14ac:dyDescent="0.2">
      <c r="B558" s="14"/>
      <c r="C558" s="14"/>
      <c r="H558" s="53"/>
    </row>
    <row r="559" spans="2:8" x14ac:dyDescent="0.2">
      <c r="B559" s="14"/>
      <c r="C559" s="14"/>
      <c r="H559" s="53"/>
    </row>
    <row r="560" spans="2:8" x14ac:dyDescent="0.2">
      <c r="B560" s="14"/>
      <c r="C560" s="14"/>
      <c r="H560" s="53"/>
    </row>
    <row r="561" spans="2:8" x14ac:dyDescent="0.2">
      <c r="B561" s="14"/>
      <c r="C561" s="14"/>
    </row>
    <row r="562" spans="2:8" x14ac:dyDescent="0.2">
      <c r="B562" s="14"/>
      <c r="C562" s="14"/>
    </row>
    <row r="563" spans="2:8" x14ac:dyDescent="0.2">
      <c r="B563" s="14"/>
      <c r="C563" s="14"/>
      <c r="E563" s="53"/>
      <c r="F563" s="53"/>
    </row>
    <row r="564" spans="2:8" x14ac:dyDescent="0.2">
      <c r="B564" s="14"/>
      <c r="C564" s="14"/>
      <c r="E564" s="53"/>
      <c r="F564" s="53"/>
    </row>
    <row r="565" spans="2:8" ht="19.5" customHeight="1" x14ac:dyDescent="0.2">
      <c r="B565" s="14"/>
      <c r="C565" s="14"/>
      <c r="G565" s="53"/>
      <c r="H565" s="53"/>
    </row>
    <row r="566" spans="2:8" x14ac:dyDescent="0.2">
      <c r="B566" s="14"/>
      <c r="C566" s="14"/>
    </row>
    <row r="571" spans="2:8" ht="17.25" customHeight="1" x14ac:dyDescent="0.2"/>
  </sheetData>
  <dataConsolidate>
    <dataRefs count="2">
      <dataRef ref="A56:J64" sheet="výdavky"/>
      <dataRef ref="A332:J334" sheet="výdavky"/>
    </dataRefs>
  </dataConsolidate>
  <phoneticPr fontId="0" type="noConversion"/>
  <printOptions horizontalCentered="1"/>
  <pageMargins left="0" right="0" top="0.47244094488188981" bottom="0.19685039370078741" header="0.51181102362204722" footer="0.51181102362204722"/>
  <pageSetup paperSize="9" scale="65" orientation="landscape" r:id="rId1"/>
  <headerFooter alignWithMargins="0"/>
  <rowBreaks count="4" manualBreakCount="4">
    <brk id="129" max="16383" man="1"/>
    <brk id="261" max="16383" man="1"/>
    <brk id="357" max="16383" man="1"/>
    <brk id="394" max="16383" man="1"/>
  </rowBreaks>
  <ignoredErrors>
    <ignoredError sqref="H295 H297 H302 E310 H315:I315 E318 H318:H319 E346 E403 F407 H416 F417:F419 I417 H422 F425 H425 F446 H446 H449" formula="1"/>
    <ignoredError sqref="G346:H346 G403:I403 G457 I457 D474:D475 F474:G474 I474 F475:G475" evalError="1"/>
    <ignoredError sqref="H418 H420 H474:H475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výdavky</vt:lpstr>
      <vt:lpstr>výdavky!Názvy_tlače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revision>0</cp:revision>
  <cp:lastPrinted>2020-11-30T23:10:34Z</cp:lastPrinted>
  <dcterms:created xsi:type="dcterms:W3CDTF">1601-01-01T00:00:00Z</dcterms:created>
  <dcterms:modified xsi:type="dcterms:W3CDTF">2020-12-08T12:12:36Z</dcterms:modified>
</cp:coreProperties>
</file>